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40" windowHeight="7695" activeTab="0"/>
  </bookViews>
  <sheets>
    <sheet name="Notes" sheetId="1" r:id="rId1"/>
    <sheet name="Statistics Q2 16" sheetId="2" r:id="rId2"/>
    <sheet name="Superfast growth" sheetId="3" r:id="rId3"/>
    <sheet name="Chart -UK Broadband Penetration" sheetId="4" r:id="rId4"/>
    <sheet name="Chart - broadband net additions" sheetId="5" r:id="rId5"/>
    <sheet name="Chart - superfast net additions" sheetId="6" r:id="rId6"/>
  </sheets>
  <definedNames>
    <definedName name="_xlnm.Print_Area" localSheetId="1">'Statistics Q2 16'!$A$1:$AO$76</definedName>
  </definedNames>
  <calcPr fullCalcOnLoad="1"/>
</workbook>
</file>

<file path=xl/sharedStrings.xml><?xml version="1.0" encoding="utf-8"?>
<sst xmlns="http://schemas.openxmlformats.org/spreadsheetml/2006/main" count="442" uniqueCount="178">
  <si>
    <t>Latest reference date</t>
  </si>
  <si>
    <t>Version date</t>
  </si>
  <si>
    <t>Sources</t>
  </si>
  <si>
    <t>Q4 2006</t>
  </si>
  <si>
    <t>Q1 2007</t>
  </si>
  <si>
    <t>Q2 2007</t>
  </si>
  <si>
    <t>Q3 2007</t>
  </si>
  <si>
    <t>Q4 2007</t>
  </si>
  <si>
    <t>Q1 2008</t>
  </si>
  <si>
    <t>Q2 2008</t>
  </si>
  <si>
    <t>Q3 2008</t>
  </si>
  <si>
    <t>LLU</t>
  </si>
  <si>
    <t>Virgin Media cable modems</t>
  </si>
  <si>
    <t>Other cable modems</t>
  </si>
  <si>
    <t>FWA/satellite</t>
  </si>
  <si>
    <t>Total Business market</t>
  </si>
  <si>
    <t>Total Consumer market</t>
  </si>
  <si>
    <t>Total broadband</t>
  </si>
  <si>
    <t>Total DSL</t>
  </si>
  <si>
    <t>Total cable modems</t>
  </si>
  <si>
    <t>Net adds</t>
  </si>
  <si>
    <t>Households in the UK</t>
  </si>
  <si>
    <t>Household dial-up number</t>
  </si>
  <si>
    <t>Total households with access</t>
  </si>
  <si>
    <t>Broadband penetration</t>
  </si>
  <si>
    <t>Dial-up penetration</t>
  </si>
  <si>
    <t>Total access adds</t>
  </si>
  <si>
    <t>Dial-up (adds)</t>
  </si>
  <si>
    <t>Consumer broadband adds</t>
  </si>
  <si>
    <t>Total</t>
  </si>
  <si>
    <t>Copyright</t>
  </si>
  <si>
    <t>Not to be reproduced or distributed without permission.</t>
  </si>
  <si>
    <t>Please credit Point Topic when this source is quoted.</t>
  </si>
  <si>
    <t>Description</t>
  </si>
  <si>
    <t>Contact</t>
  </si>
  <si>
    <t>For any requests or enquiries about this data file or other Point Topic information or services, please contact:</t>
  </si>
  <si>
    <t>Point Topic Ltd</t>
  </si>
  <si>
    <t>Market statistics</t>
  </si>
  <si>
    <t>Notes on the data</t>
  </si>
  <si>
    <t>+44 (0) 20 3301 3303</t>
  </si>
  <si>
    <t>Take up in Q as % of non users</t>
  </si>
  <si>
    <t>Do.in Half</t>
  </si>
  <si>
    <t>Do.in Year</t>
  </si>
  <si>
    <t>Q4 2008</t>
  </si>
  <si>
    <t>Virgin Media</t>
  </si>
  <si>
    <t>Q1 2009</t>
  </si>
  <si>
    <t>Q2 2009</t>
  </si>
  <si>
    <t>Household broadband second lines</t>
  </si>
  <si>
    <t>Net broadband households</t>
  </si>
  <si>
    <t>Point Topic</t>
  </si>
  <si>
    <t>Q3 2009</t>
  </si>
  <si>
    <t xml:space="preserve">Point Topic </t>
  </si>
  <si>
    <t>ONS, Point Topic</t>
  </si>
  <si>
    <t>Q4 2009</t>
  </si>
  <si>
    <t>Alternative Network FTTx</t>
  </si>
  <si>
    <t>Total FTTx</t>
  </si>
  <si>
    <t>BT, Point Topic</t>
  </si>
  <si>
    <t>Total other (FWA, satellite)</t>
  </si>
  <si>
    <t>Q1 2010</t>
  </si>
  <si>
    <t>Q2 2010</t>
  </si>
  <si>
    <t>Q3 2010</t>
  </si>
  <si>
    <t>Q4 2010</t>
  </si>
  <si>
    <t>Q1 2011</t>
  </si>
  <si>
    <t>Q2 2011</t>
  </si>
  <si>
    <t>Alternative network FTTx</t>
  </si>
  <si>
    <t>Q3 2011</t>
  </si>
  <si>
    <t>VM 30 Mbps</t>
  </si>
  <si>
    <t>Related files</t>
  </si>
  <si>
    <t xml:space="preserve">This file should be used together with:  </t>
  </si>
  <si>
    <t>Analysis of the results provided by both these files is available in:</t>
  </si>
  <si>
    <t>Q4 2011</t>
  </si>
  <si>
    <t>BT Infinity</t>
  </si>
  <si>
    <t>VM 50Mbps and 100Mbps</t>
  </si>
  <si>
    <t>annelise.berendt@point-topic.com</t>
  </si>
  <si>
    <t>Q1 2012</t>
  </si>
  <si>
    <t>VM 60Mbps</t>
  </si>
  <si>
    <t xml:space="preserve">VM 50Mbps </t>
  </si>
  <si>
    <t>VM 100Mbps</t>
  </si>
  <si>
    <t>KC DSL broadband lines</t>
  </si>
  <si>
    <t>Q2 2012</t>
  </si>
  <si>
    <t>Resale lines on Openreach network</t>
  </si>
  <si>
    <t>Overall total</t>
  </si>
  <si>
    <t>Q3 2012</t>
  </si>
  <si>
    <t>Point Topic estimate of FTTx connections on networks other than BT, KC or Virgin Media.</t>
  </si>
  <si>
    <r>
      <t xml:space="preserve">Sources are indicated to the right of each row. </t>
    </r>
    <r>
      <rPr>
        <i/>
        <sz val="11"/>
        <color indexed="8"/>
        <rFont val="Calibri"/>
        <family val="2"/>
      </rPr>
      <t>Italics</t>
    </r>
    <r>
      <rPr>
        <sz val="11"/>
        <color indexed="8"/>
        <rFont val="Calibri"/>
        <family val="2"/>
      </rPr>
      <t xml:space="preserve"> indicate estimates. </t>
    </r>
    <r>
      <rPr>
        <sz val="11"/>
        <color indexed="10"/>
        <rFont val="Calibri"/>
        <family val="2"/>
      </rPr>
      <t>Red</t>
    </r>
    <r>
      <rPr>
        <sz val="11"/>
        <color indexed="8"/>
        <rFont val="Calibri"/>
        <family val="2"/>
      </rPr>
      <t xml:space="preserve"> font indicates data restated since the previous edition of this deliverable.</t>
    </r>
  </si>
  <si>
    <t>Point Topic estimate of FTTx connections on networks other than BT or Virgin Media.</t>
  </si>
  <si>
    <t>73 Farringdon Road</t>
  </si>
  <si>
    <t>London EC1M 3JQ</t>
  </si>
  <si>
    <t>Sources are indicated to the right of each row. Italics indicate estimates. Red font indicates data restated since the previous edition of this deliverable.</t>
  </si>
  <si>
    <t>Total broadband:</t>
  </si>
  <si>
    <t>By operator:</t>
  </si>
  <si>
    <t>By technology:</t>
  </si>
  <si>
    <t>Household access (any internet):</t>
  </si>
  <si>
    <t>Household internet penetration:</t>
  </si>
  <si>
    <t>Growth:</t>
  </si>
  <si>
    <t>NOTES ON THE DATA:</t>
  </si>
  <si>
    <t>Total penetration</t>
  </si>
  <si>
    <t>By provider:</t>
  </si>
  <si>
    <t>Alternative networks</t>
  </si>
  <si>
    <t>Total superfast lines</t>
  </si>
  <si>
    <t>Annelise Berendt or Oliver Johnson</t>
  </si>
  <si>
    <t>oliver.johnson@point-topic.com</t>
  </si>
  <si>
    <t>Q4 2012</t>
  </si>
  <si>
    <t>Adds for BT Infinity and Virgin Media</t>
  </si>
  <si>
    <t>Q1 2013</t>
  </si>
  <si>
    <t>BT Retail (BT Infinity) FTTx</t>
  </si>
  <si>
    <t>In Q1 2013 we reassessed our view of household broadband second lines, and now base our figures on 1.25% of consumer DSL lines rather than taking a proportion of the consumer broadband market as a whole. We have restated this line back to the start of 2011. A second line is almost always due to inadequate bandwidth on a single line, which means that this multiplier does not apply to the superfast subscriptions that we believe are increasingly substituting DSL lines. Hence the reduction in second lines. In turn this has increased  broadband household penetration and total household internet penetration levels.</t>
  </si>
  <si>
    <t>In Q1 2013 we have reassessed our view of household broadband second lines based on 1.25% of consumer DSL lines - we have restated this line back to the start of 2011. A second line is almost always due to inadequate bandwidth on a single line, which means this multiplier does not apply to the superfast subscriptions that we believe are increasingly substituting DSL lines. Hence the reduction in second lines. In turn this has increased  broadband household penetration and total household internet penetration levels.</t>
  </si>
  <si>
    <t>Q2 2013</t>
  </si>
  <si>
    <t>VM 30Mbps and above</t>
  </si>
  <si>
    <t>Total BT Infinity and Virgin Media</t>
  </si>
  <si>
    <t>Q3 2013</t>
  </si>
  <si>
    <t>Q4 2013</t>
  </si>
  <si>
    <t>Q1 2014</t>
  </si>
  <si>
    <t>BT Openreach wholesaled DSL broadband lines</t>
  </si>
  <si>
    <t>BT Openreach wholesaled FTTx broadband lines</t>
  </si>
  <si>
    <t>In Q4 2013 we revised our estimate for total broadband lines based on 100,000 residential broadband customers plus 10,000 business customers</t>
  </si>
  <si>
    <t>WightFibre; Smallworld Fibre subscribers now included under Virgin Media</t>
  </si>
  <si>
    <t>During Q1 2014 Virgin Media acquired Smallworld Fibre which at the time had 5,300 broadband subscribers. These are now included under Virgin Media.</t>
  </si>
  <si>
    <t>Q2 2014</t>
  </si>
  <si>
    <t>In Q2 2014 BT Group published quarterly BT Retail figures for FTTx lines for the first time meaning Point Topic does not need to estimate this number.</t>
  </si>
  <si>
    <t>Virgin Media, now a subsidary of Liberty Global, is no longer providing a split of its broadband product tiers, only an overall figure for subscribers on 30Mbps or above.</t>
  </si>
  <si>
    <t>BT wholesaled FTTx broadband lines</t>
  </si>
  <si>
    <t>In Q4 2012 we increased our estimate of BT Retail FTTx lines by 50,000 following consultation with BT. Following the revision using actual BT Group numbers in Q2 2014, the increase should have been around 20,000 rather than 50,000. We have revised our figures accordingly.</t>
  </si>
  <si>
    <t>In Q4 2012 we increased our estimate of BT Retail FTTx lines by 50,000 following consultation with BT. Following the publication of actual numbers this revision should have been around 20,000 instead. Our estimate of Openreach lines to non-BT ISPs proved to be completely correct.</t>
  </si>
  <si>
    <t xml:space="preserve">In Q4 2012 we increased our estimate of BT Retail FTTx lines by 50,000 believing that over time we have drifted from BT's actual total. This correction followed consultation with BT. </t>
  </si>
  <si>
    <t>However, in Q2 2014 BT Group published actual numbers for Openreach's FTTx lines and BT Infinity lines for the first time, backdated to Q2 2012. We have accordingly adjusted our figures. The earlier increase should have been around 20,000.</t>
  </si>
  <si>
    <t>During Q2 2014 superfast broadband RGUs (30 Mbps and above) were up 144,400, now numbering 3.6 million.</t>
  </si>
  <si>
    <t>In Q2 2014 Virgin Media announced it had changed its definition of "superfast lines" to mean lines providing service of 50 Mbps and above. Point Topic continues to count 30 Mbps and above lines as "superfast".</t>
  </si>
  <si>
    <t>Q3 2014</t>
  </si>
  <si>
    <t>BT Group</t>
  </si>
  <si>
    <t>In Q3 2014 Virgin Media ceased publishing superfast broadband RGUs for 30Mbps and above, providing only a figure for 50Mbps and above. Point Topic has therefore estimated the figure for 30Mbps and above.</t>
  </si>
  <si>
    <t>Superfast lines on other cable modems are not included here.</t>
  </si>
  <si>
    <t>BT Group published actual end-of-quarter figures for Openreach FTTx lines connected and BT Infinity lines in its Q2 2014 results. These actual figures date back to Q2 2012 and we have revised our numbers accordingly.</t>
  </si>
  <si>
    <t>In Q2 2014 BT Group published the actual Openreach end-of-quarter fibre base total for first time. We have revised our figures accordingly.</t>
  </si>
  <si>
    <t>Q4 2014</t>
  </si>
  <si>
    <t>Q1 2015</t>
  </si>
  <si>
    <t>Narrowband lines</t>
  </si>
  <si>
    <t>From Q1 2015 we assume no narrowband lines.</t>
  </si>
  <si>
    <t>Q1 2015 we assume close to zero narrowband lines</t>
  </si>
  <si>
    <t>Adds for BT Infinity</t>
  </si>
  <si>
    <t>Adds for Virgin Media</t>
  </si>
  <si>
    <t>Q2 2015</t>
  </si>
  <si>
    <t>Q3 2015</t>
  </si>
  <si>
    <t>BT Consumer DSL</t>
  </si>
  <si>
    <t>Non-BT Consumer DSL</t>
  </si>
  <si>
    <t>Copyright © Point Topic Ltd 2016</t>
  </si>
  <si>
    <t>Q4 2015</t>
  </si>
  <si>
    <t>In Q4 2015 we adjusted our Q3 2015 estimate for Virgin Media customers taking 30Mbps and above services down slightly to 4,301,000</t>
  </si>
  <si>
    <t>Superfast growth in 2011-2016 summarises the basis for Point Topic estimates of fixed superfast broadband lines connected.</t>
  </si>
  <si>
    <t>Q1 2016</t>
  </si>
  <si>
    <t>Superfast growth in 2011-2016</t>
  </si>
  <si>
    <t>BT Consumer (BT Infinity) FTTx</t>
  </si>
  <si>
    <t>Openreach FTTx connections total 5,907,000 end Q1 2016 of which 4,076,000 BT Infinity lines which now includes EE FTTx lines following aquisition leaving 1,831,000 for other ISPs</t>
  </si>
  <si>
    <t>Adds for superfast lines</t>
  </si>
  <si>
    <t>In Q1 2016 EE lines were included in BT Consumer division lines following BT Group's acquisition of EE on 29 January 2016</t>
  </si>
  <si>
    <t>In Q1 2016 EE lines were included in BT Consumer division lines following BT Group's acquisition of EE on 29 January 2016.</t>
  </si>
  <si>
    <t>UK Broadband Market Statistics Q2 2016</t>
  </si>
  <si>
    <t>Number of broadband lines by technology and market sector, with household take-up from Q4 2006 to Q2 2016.</t>
  </si>
  <si>
    <t>This version is completed on 11/08/16</t>
  </si>
  <si>
    <t>UK ISP Market Share Q2 2016</t>
  </si>
  <si>
    <t>UK broadband market statistics - Q2 2016</t>
  </si>
  <si>
    <t>Q2 2016</t>
  </si>
  <si>
    <t>Source (Q2 2016)</t>
  </si>
  <si>
    <t>Of which 4,257,000 BT Consumer Infinity including EE FTTx lines and 1,982,000 resale lines to other ISPs</t>
  </si>
  <si>
    <t>BT published 8,934,000 full LLU (MPF) and 1,067,000 shared LLU (SMPF) + external fibre on WLR lines; no total LLU figure published</t>
  </si>
  <si>
    <t>Assume 49% take 100Mbps or above services based on Q1 2016 Virgin Media comment of UK and Ireland combined; revised figure for Q1 2016</t>
  </si>
  <si>
    <t>Satellite</t>
  </si>
  <si>
    <t>PT estimate for Q2 2016 based on 94% of customer base taking 30Mbps or above</t>
  </si>
  <si>
    <t>KCOM DSL broadband lines</t>
  </si>
  <si>
    <t>KCOM DSL FTTx lines</t>
  </si>
  <si>
    <t>KCOM FTTx</t>
  </si>
  <si>
    <t>FTTx lines for KCOM, the incumbent operator in the Kingston upon Hull area.</t>
  </si>
  <si>
    <t>KCOM</t>
  </si>
  <si>
    <t>Broadband market hits 25 million subscribers</t>
  </si>
  <si>
    <t>Q2 2016 we significantly increased our estimate for satellite numbers following consultation with industry.</t>
  </si>
  <si>
    <t>Q2 2016 we revised our estimate for satellite</t>
  </si>
  <si>
    <t>Q2 2016 we revised our estimate for satellite broadband following consultation with industry.</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</si>
</sst>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_-* #,##0.0_-;\-* #,##0.0_-;_-* &quot;-&quot;??_-;_-@_-"/>
    <numFmt numFmtId="174" formatCode="_-* #,##0_-;\-* #,##0_-;_-* &quot;-&quot;??_-;_-@_-"/>
    <numFmt numFmtId="175" formatCode="0.0%"/>
    <numFmt numFmtId="176" formatCode="_-* #,##0.000_-;\-* #,##0.000_-;_-* &quot;-&quot;??_-;_-@_-"/>
    <numFmt numFmtId="177" formatCode="_-* #,##0.0000_-;\-* #,##0.0000_-;_-*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_-;\-* #,##0.0_-;_-* &quot;-&quot;?_-;_-@_-"/>
    <numFmt numFmtId="183" formatCode="_-* #,##0_-;\-* #,##0_-;_-* &quot;-&quot;?_-;_-@_-"/>
    <numFmt numFmtId="184" formatCode="0.0000000"/>
    <numFmt numFmtId="185" formatCode="0.000000"/>
    <numFmt numFmtId="186" formatCode="0.00000"/>
    <numFmt numFmtId="187" formatCode="0.0000"/>
    <numFmt numFmtId="188" formatCode="0.000"/>
    <numFmt numFmtId="189" formatCode="0.0"/>
    <numFmt numFmtId="190" formatCode="mmm\-yyyy"/>
    <numFmt numFmtId="191" formatCode="#,##0_ ;\-#,##0\ "/>
    <numFmt numFmtId="192" formatCode="#,##0.0"/>
    <numFmt numFmtId="193" formatCode="&quot;£ &quot;#,##0;\-&quot;£ &quot;#,##0"/>
    <numFmt numFmtId="194" formatCode="&quot;£ &quot;#,##0;[Red]\-&quot;£ &quot;#,##0"/>
    <numFmt numFmtId="195" formatCode="&quot;£ &quot;#,##0.00;\-&quot;£ &quot;#,##0.00"/>
    <numFmt numFmtId="196" formatCode="&quot;£ &quot;#,##0.00;[Red]\-&quot;£ &quot;#,##0.00"/>
    <numFmt numFmtId="197" formatCode="_-&quot;£ &quot;* #,##0_-;\-&quot;£ &quot;* #,##0_-;_-&quot;£ &quot;* &quot;-&quot;_-;_-@_-"/>
    <numFmt numFmtId="198" formatCode="_-&quot;£ &quot;* #,##0.00_-;\-&quot;£ &quot;* #,##0.00_-;_-&quot;£ &quot;* &quot;-&quot;??_-;_-@_-"/>
    <numFmt numFmtId="199" formatCode="#,##0.0%"/>
    <numFmt numFmtId="200" formatCode="dd\-mmm\-yyyy\ hh:mm:ss"/>
    <numFmt numFmtId="201" formatCode="[hh]:mm:ss"/>
    <numFmt numFmtId="202" formatCode="#,##0.000"/>
    <numFmt numFmtId="203" formatCode="#,##0.0000000000000"/>
    <numFmt numFmtId="204" formatCode="#,##0\ &quot;€&quot;;\-#,##0\ &quot;€&quot;"/>
    <numFmt numFmtId="205" formatCode="#,##0\ &quot;€&quot;;[Red]\-#,##0\ &quot;€&quot;"/>
    <numFmt numFmtId="206" formatCode="#,##0.00\ &quot;€&quot;;\-#,##0.00\ &quot;€&quot;"/>
    <numFmt numFmtId="207" formatCode="#,##0.00\ &quot;€&quot;;[Red]\-#,##0.00\ &quot;€&quot;"/>
    <numFmt numFmtId="208" formatCode="_-* #,##0\ &quot;€&quot;_-;\-* #,##0\ &quot;€&quot;_-;_-* &quot;-&quot;\ &quot;€&quot;_-;_-@_-"/>
    <numFmt numFmtId="209" formatCode="_-* #,##0\ _€_-;\-* #,##0\ _€_-;_-* &quot;-&quot;\ _€_-;_-@_-"/>
    <numFmt numFmtId="210" formatCode="_-* #,##0.00\ &quot;€&quot;_-;\-* #,##0.00\ &quot;€&quot;_-;_-* &quot;-&quot;??\ &quot;€&quot;_-;_-@_-"/>
    <numFmt numFmtId="211" formatCode="_-* #,##0.00\ _€_-;\-* #,##0.00\ _€_-;_-* &quot;-&quot;??\ _€_-;_-@_-"/>
    <numFmt numFmtId="212" formatCode="0.000%"/>
    <numFmt numFmtId="213" formatCode="0.0000%"/>
    <numFmt numFmtId="214" formatCode="&quot;£&quot;#,##0.00"/>
    <numFmt numFmtId="215" formatCode="[$-809]dd\ mmmm\ yyyy"/>
  </numFmts>
  <fonts count="47">
    <font>
      <sz val="10"/>
      <color indexed="8"/>
      <name val="Helvetica"/>
      <family val="2"/>
    </font>
    <font>
      <sz val="10"/>
      <name val="Arial"/>
      <family val="0"/>
    </font>
    <font>
      <sz val="11"/>
      <color indexed="8"/>
      <name val="Calibri"/>
      <family val="2"/>
    </font>
    <font>
      <sz val="11"/>
      <color indexed="9"/>
      <name val="Calibri"/>
      <family val="2"/>
    </font>
    <font>
      <sz val="11"/>
      <color indexed="20"/>
      <name val="Calibri"/>
      <family val="2"/>
    </font>
    <font>
      <b/>
      <sz val="11"/>
      <color indexed="25"/>
      <name val="Calibri"/>
      <family val="2"/>
    </font>
    <font>
      <b/>
      <sz val="11"/>
      <color indexed="9"/>
      <name val="Calibri"/>
      <family val="2"/>
    </font>
    <font>
      <i/>
      <sz val="11"/>
      <color indexed="23"/>
      <name val="Calibri"/>
      <family val="2"/>
    </font>
    <font>
      <u val="single"/>
      <sz val="10"/>
      <color indexed="36"/>
      <name val="Helvetica"/>
      <family val="2"/>
    </font>
    <font>
      <sz val="11"/>
      <color indexed="17"/>
      <name val="Calibri"/>
      <family val="2"/>
    </font>
    <font>
      <b/>
      <sz val="14"/>
      <color indexed="8"/>
      <name val="Helvetica"/>
      <family val="2"/>
    </font>
    <font>
      <b/>
      <sz val="12"/>
      <color indexed="8"/>
      <name val="Helvetica"/>
      <family val="2"/>
    </font>
    <font>
      <b/>
      <sz val="10"/>
      <color indexed="8"/>
      <name val="Helvetica"/>
      <family val="2"/>
    </font>
    <font>
      <b/>
      <sz val="11"/>
      <color indexed="62"/>
      <name val="Calibri"/>
      <family val="2"/>
    </font>
    <font>
      <u val="single"/>
      <sz val="10"/>
      <color indexed="12"/>
      <name val="Helvetica"/>
      <family val="2"/>
    </font>
    <font>
      <sz val="11"/>
      <color indexed="62"/>
      <name val="Calibri"/>
      <family val="2"/>
    </font>
    <font>
      <sz val="11"/>
      <color indexed="25"/>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2"/>
    </font>
    <font>
      <sz val="10"/>
      <name val="Helvetica"/>
      <family val="2"/>
    </font>
    <font>
      <sz val="10"/>
      <color indexed="8"/>
      <name val="Calibri"/>
      <family val="2"/>
    </font>
    <font>
      <sz val="9"/>
      <color indexed="8"/>
      <name val="Arial"/>
      <family val="2"/>
    </font>
    <font>
      <sz val="9.5"/>
      <color indexed="8"/>
      <name val="Arial"/>
      <family val="2"/>
    </font>
    <font>
      <sz val="9.25"/>
      <color indexed="8"/>
      <name val="Arial"/>
      <family val="2"/>
    </font>
    <font>
      <sz val="11"/>
      <name val="Calibri"/>
      <family val="2"/>
    </font>
    <font>
      <b/>
      <sz val="11"/>
      <name val="Calibri"/>
      <family val="2"/>
    </font>
    <font>
      <b/>
      <sz val="24"/>
      <name val="Calibri"/>
      <family val="2"/>
    </font>
    <font>
      <u val="single"/>
      <sz val="11"/>
      <color indexed="12"/>
      <name val="Calibri"/>
      <family val="2"/>
    </font>
    <font>
      <b/>
      <i/>
      <sz val="11"/>
      <color indexed="8"/>
      <name val="Calibri"/>
      <family val="2"/>
    </font>
    <font>
      <i/>
      <sz val="11"/>
      <name val="Calibri"/>
      <family val="2"/>
    </font>
    <font>
      <sz val="10"/>
      <name val="Calibri"/>
      <family val="2"/>
    </font>
    <font>
      <i/>
      <sz val="11"/>
      <color indexed="10"/>
      <name val="Calibri"/>
      <family val="2"/>
    </font>
    <font>
      <b/>
      <sz val="11"/>
      <color indexed="8"/>
      <name val="Arial"/>
      <family val="2"/>
    </font>
    <font>
      <b/>
      <sz val="18"/>
      <color indexed="8"/>
      <name val="Arial"/>
      <family val="2"/>
    </font>
    <font>
      <i/>
      <sz val="8"/>
      <color indexed="8"/>
      <name val="Arial"/>
      <family val="2"/>
    </font>
    <font>
      <b/>
      <sz val="10"/>
      <color indexed="8"/>
      <name val="Calibri"/>
      <family val="2"/>
    </font>
    <font>
      <b/>
      <sz val="20"/>
      <color indexed="8"/>
      <name val="Calibri"/>
      <family val="2"/>
    </font>
    <font>
      <i/>
      <sz val="9"/>
      <color indexed="8"/>
      <name val="Arial"/>
      <family val="2"/>
    </font>
    <font>
      <b/>
      <sz val="18"/>
      <color indexed="8"/>
      <name val="Calibri"/>
      <family val="2"/>
    </font>
    <font>
      <b/>
      <sz val="9"/>
      <color indexed="8"/>
      <name val="Calibri"/>
      <family val="2"/>
    </font>
    <font>
      <b/>
      <sz val="11"/>
      <color theme="0"/>
      <name val="Calibri"/>
      <family val="2"/>
    </font>
    <font>
      <sz val="11"/>
      <color rgb="FFFF0000"/>
      <name val="Calibri"/>
      <family val="2"/>
    </font>
    <font>
      <i/>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theme="9" tint="0.7999799847602844"/>
        <bgColor indexed="64"/>
      </patternFill>
    </fill>
    <fill>
      <patternFill patternType="solid">
        <fgColor theme="3" tint="0.5999900102615356"/>
        <bgColor indexed="64"/>
      </patternFill>
    </fill>
    <fill>
      <patternFill patternType="solid">
        <fgColor theme="1" tint="0.15000000596046448"/>
        <bgColor indexed="64"/>
      </patternFill>
    </fill>
    <fill>
      <patternFill patternType="solid">
        <fgColor theme="4" tint="0.7999799847602844"/>
        <bgColor indexed="64"/>
      </patternFill>
    </fill>
    <fill>
      <patternFill patternType="solid">
        <fgColor theme="1" tint="0.34999001026153564"/>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25"/>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theme="0" tint="-0.1499900072813034"/>
      </left>
      <right style="thin">
        <color theme="0" tint="-0.1499900072813034"/>
      </right>
      <top style="thin">
        <color theme="0" tint="-0.1499900072813034"/>
      </top>
      <bottom>
        <color indexed="63"/>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color indexed="63"/>
      </right>
      <top style="thin">
        <color theme="0" tint="-0.1499900072813034"/>
      </top>
      <bottom style="thin">
        <color theme="0" tint="-0.1499900072813034"/>
      </bottom>
    </border>
    <border>
      <left style="thin">
        <color theme="0" tint="-0.1499900072813034"/>
      </left>
      <right>
        <color indexed="63"/>
      </right>
      <top style="thin">
        <color theme="0" tint="-0.1499900072813034"/>
      </top>
      <bottom>
        <color indexed="63"/>
      </bottom>
    </border>
    <border>
      <left style="thin">
        <color theme="0" tint="-0.149959996342659"/>
      </left>
      <right>
        <color indexed="63"/>
      </right>
      <top style="thin">
        <color theme="0" tint="-0.149959996342659"/>
      </top>
      <bottom style="thin">
        <color theme="0" tint="-0.149959996342659"/>
      </bottom>
    </border>
    <border>
      <left style="thin">
        <color theme="0" tint="-0.149959996342659"/>
      </left>
      <right style="thin">
        <color theme="0" tint="-0.14993000030517578"/>
      </right>
      <top style="thin">
        <color theme="0" tint="-0.149959996342659"/>
      </top>
      <bottom style="thin">
        <color theme="0" tint="-0.149959996342659"/>
      </bottom>
    </border>
    <border>
      <left style="thin">
        <color theme="0" tint="-0.149959996342659"/>
      </left>
      <right style="thin">
        <color theme="0" tint="-0.14993000030517578"/>
      </right>
      <top style="thin">
        <color theme="0" tint="-0.1499900072813034"/>
      </top>
      <bottom style="thin">
        <color theme="0" tint="-0.1499900072813034"/>
      </bottom>
    </border>
    <border>
      <left style="thin">
        <color theme="0" tint="-0.149959996342659"/>
      </left>
      <right style="thin">
        <color theme="0" tint="-0.14993000030517578"/>
      </right>
      <top style="thin">
        <color theme="0" tint="-0.1499900072813034"/>
      </top>
      <bottom style="thin">
        <color theme="0" tint="-0.149959996342659"/>
      </bottom>
    </border>
    <border>
      <left>
        <color indexed="63"/>
      </left>
      <right style="thin">
        <color theme="0" tint="-0.149959996342659"/>
      </right>
      <top style="thin">
        <color theme="0" tint="-0.1499900072813034"/>
      </top>
      <bottom style="thin">
        <color theme="0" tint="-0.1499900072813034"/>
      </bottom>
    </border>
    <border>
      <left style="thin">
        <color theme="0" tint="-0.149959996342659"/>
      </left>
      <right style="thin">
        <color theme="0" tint="-0.149959996342659"/>
      </right>
      <top style="thin">
        <color theme="0" tint="-0.149959996342659"/>
      </top>
      <bottom>
        <color indexed="63"/>
      </bottom>
    </border>
    <border>
      <left style="thin">
        <color theme="0" tint="-0.14993000030517578"/>
      </left>
      <right style="thin">
        <color theme="0" tint="-0.14993000030517578"/>
      </right>
      <top style="thin">
        <color theme="0" tint="-0.14993000030517578"/>
      </top>
      <bottom>
        <color indexed="63"/>
      </bottom>
    </border>
    <border>
      <left>
        <color indexed="63"/>
      </left>
      <right>
        <color indexed="63"/>
      </right>
      <top style="thin">
        <color theme="0" tint="-0.1499900072813034"/>
      </top>
      <bottom style="thin">
        <color theme="0" tint="-0.1499900072813034"/>
      </bottom>
    </border>
  </borders>
  <cellStyleXfs count="68">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5" fillId="2" borderId="1" applyNumberFormat="0" applyAlignment="0" applyProtection="0"/>
    <xf numFmtId="0" fontId="6" fillId="1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5"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16" borderId="0" applyNumberFormat="0" applyBorder="0" applyAlignment="0" applyProtection="0"/>
    <xf numFmtId="0" fontId="10" fillId="0" borderId="0" applyNumberFormat="0" applyFill="0" applyBorder="0" applyAlignment="0" applyProtection="0"/>
    <xf numFmtId="172" fontId="11" fillId="0" borderId="0" applyNumberFormat="0" applyFill="0" applyBorder="0" applyAlignment="0" applyProtection="0"/>
    <xf numFmtId="172"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3" applyNumberFormat="0" applyFill="0" applyAlignment="0" applyProtection="0"/>
    <xf numFmtId="0" fontId="17" fillId="4" borderId="0" applyNumberFormat="0" applyBorder="0" applyAlignment="0" applyProtection="0"/>
    <xf numFmtId="0" fontId="1" fillId="0" borderId="0">
      <alignment/>
      <protection/>
    </xf>
    <xf numFmtId="0" fontId="1" fillId="0" borderId="0">
      <alignment/>
      <protection/>
    </xf>
    <xf numFmtId="0" fontId="0" fillId="4" borderId="4" applyNumberFormat="0" applyFont="0" applyAlignment="0" applyProtection="0"/>
    <xf numFmtId="0" fontId="18" fillId="2" borderId="5" applyNumberFormat="0" applyAlignment="0" applyProtection="0"/>
    <xf numFmtId="9" fontId="1" fillId="0" borderId="0" applyFont="0" applyFill="0" applyBorder="0" applyAlignment="0" applyProtection="0"/>
    <xf numFmtId="0" fontId="0" fillId="0" borderId="0" applyBorder="0">
      <alignment/>
      <protection locked="0"/>
    </xf>
    <xf numFmtId="0" fontId="19" fillId="0" borderId="0" applyNumberFormat="0" applyFill="0" applyBorder="0" applyAlignment="0" applyProtection="0"/>
    <xf numFmtId="0" fontId="20" fillId="0" borderId="6" applyNumberFormat="0" applyFill="0" applyAlignment="0" applyProtection="0"/>
    <xf numFmtId="0" fontId="21" fillId="0" borderId="0" applyNumberFormat="0" applyFill="0" applyBorder="0" applyAlignment="0" applyProtection="0"/>
  </cellStyleXfs>
  <cellXfs count="144">
    <xf numFmtId="0" fontId="0" fillId="0" borderId="0" xfId="0" applyAlignment="1">
      <alignment/>
    </xf>
    <xf numFmtId="0" fontId="28" fillId="17" borderId="0" xfId="60" applyFont="1" applyFill="1">
      <alignment/>
      <protection/>
    </xf>
    <xf numFmtId="0" fontId="29" fillId="17" borderId="0" xfId="59" applyFont="1" applyFill="1" applyAlignment="1">
      <alignment vertical="top" wrapText="1"/>
      <protection/>
    </xf>
    <xf numFmtId="0" fontId="30" fillId="17" borderId="0" xfId="59" applyFont="1" applyFill="1" applyAlignment="1">
      <alignment vertical="top" wrapText="1"/>
      <protection/>
    </xf>
    <xf numFmtId="0" fontId="28" fillId="17" borderId="0" xfId="59" applyFont="1" applyFill="1" applyAlignment="1">
      <alignment vertical="top" wrapText="1"/>
      <protection/>
    </xf>
    <xf numFmtId="0" fontId="28" fillId="18" borderId="0" xfId="60" applyFont="1" applyFill="1">
      <alignment/>
      <protection/>
    </xf>
    <xf numFmtId="0" fontId="28" fillId="18" borderId="0" xfId="59" applyFont="1" applyFill="1" applyAlignment="1">
      <alignment vertical="top" wrapText="1"/>
      <protection/>
    </xf>
    <xf numFmtId="0" fontId="31" fillId="17" borderId="0" xfId="55" applyFont="1" applyFill="1" applyAlignment="1" applyProtection="1">
      <alignment vertical="top" wrapText="1"/>
      <protection/>
    </xf>
    <xf numFmtId="0" fontId="28" fillId="17" borderId="0" xfId="59" applyFont="1" applyFill="1" applyAlignment="1" quotePrefix="1">
      <alignment vertical="top" wrapText="1"/>
      <protection/>
    </xf>
    <xf numFmtId="0" fontId="29" fillId="17" borderId="0" xfId="60" applyFont="1" applyFill="1">
      <alignment/>
      <protection/>
    </xf>
    <xf numFmtId="0" fontId="28" fillId="17" borderId="0" xfId="60" applyFont="1" applyFill="1" applyAlignment="1">
      <alignment wrapText="1"/>
      <protection/>
    </xf>
    <xf numFmtId="0" fontId="28" fillId="17" borderId="0" xfId="60" applyNumberFormat="1" applyFont="1" applyFill="1" applyAlignment="1">
      <alignment/>
      <protection/>
    </xf>
    <xf numFmtId="0" fontId="2" fillId="17" borderId="0" xfId="0" applyFont="1" applyFill="1" applyAlignment="1">
      <alignment vertical="top" wrapText="1"/>
    </xf>
    <xf numFmtId="0" fontId="28" fillId="17" borderId="0" xfId="60" applyFont="1" applyFill="1" applyAlignment="1">
      <alignment vertical="top" wrapText="1"/>
      <protection/>
    </xf>
    <xf numFmtId="0" fontId="28" fillId="17" borderId="0" xfId="60" applyNumberFormat="1" applyFont="1" applyFill="1" applyAlignment="1">
      <alignment vertical="top"/>
      <protection/>
    </xf>
    <xf numFmtId="0" fontId="20" fillId="17" borderId="0" xfId="0" applyFont="1" applyFill="1" applyBorder="1" applyAlignment="1">
      <alignment/>
    </xf>
    <xf numFmtId="0" fontId="2" fillId="17" borderId="0" xfId="0" applyFont="1" applyFill="1" applyBorder="1" applyAlignment="1">
      <alignment/>
    </xf>
    <xf numFmtId="0" fontId="22" fillId="17" borderId="0" xfId="0" applyFont="1" applyFill="1" applyBorder="1" applyAlignment="1">
      <alignment/>
    </xf>
    <xf numFmtId="0" fontId="30" fillId="19" borderId="0" xfId="60" applyFont="1" applyFill="1" applyBorder="1" applyAlignment="1">
      <alignment vertical="center"/>
      <protection/>
    </xf>
    <xf numFmtId="0" fontId="30" fillId="19" borderId="0" xfId="60" applyFont="1" applyFill="1" applyBorder="1" applyAlignment="1">
      <alignment vertical="center" wrapText="1"/>
      <protection/>
    </xf>
    <xf numFmtId="0" fontId="2" fillId="19" borderId="0" xfId="0" applyFont="1" applyFill="1" applyBorder="1" applyAlignment="1">
      <alignment vertical="center"/>
    </xf>
    <xf numFmtId="0" fontId="22" fillId="19" borderId="0" xfId="0" applyFont="1" applyFill="1" applyBorder="1" applyAlignment="1">
      <alignment vertical="center"/>
    </xf>
    <xf numFmtId="0" fontId="2" fillId="0" borderId="0" xfId="0" applyFont="1" applyBorder="1" applyAlignment="1">
      <alignment vertical="center"/>
    </xf>
    <xf numFmtId="14" fontId="2" fillId="17" borderId="0" xfId="0" applyNumberFormat="1" applyFont="1" applyFill="1" applyBorder="1" applyAlignment="1">
      <alignment/>
    </xf>
    <xf numFmtId="3" fontId="2" fillId="17" borderId="0" xfId="0" applyNumberFormat="1" applyFont="1" applyFill="1" applyBorder="1" applyAlignment="1">
      <alignment/>
    </xf>
    <xf numFmtId="0" fontId="20" fillId="17" borderId="0" xfId="0" applyFont="1" applyFill="1" applyBorder="1" applyAlignment="1">
      <alignment horizontal="left"/>
    </xf>
    <xf numFmtId="0" fontId="32" fillId="17" borderId="0" xfId="0" applyFont="1" applyFill="1" applyBorder="1" applyAlignment="1">
      <alignment horizontal="left"/>
    </xf>
    <xf numFmtId="0" fontId="44" fillId="20" borderId="7" xfId="0" applyNumberFormat="1" applyFont="1" applyFill="1" applyBorder="1" applyAlignment="1">
      <alignment vertical="center"/>
    </xf>
    <xf numFmtId="0" fontId="44" fillId="20" borderId="7" xfId="0" applyFont="1" applyFill="1" applyBorder="1" applyAlignment="1">
      <alignment vertical="center"/>
    </xf>
    <xf numFmtId="0" fontId="28" fillId="21" borderId="8" xfId="0" applyFont="1" applyFill="1" applyBorder="1" applyAlignment="1">
      <alignment/>
    </xf>
    <xf numFmtId="3" fontId="2" fillId="21" borderId="8" xfId="0" applyNumberFormat="1" applyFont="1" applyFill="1" applyBorder="1" applyAlignment="1">
      <alignment/>
    </xf>
    <xf numFmtId="0" fontId="2" fillId="17" borderId="8" xfId="0" applyFont="1" applyFill="1" applyBorder="1" applyAlignment="1">
      <alignment/>
    </xf>
    <xf numFmtId="0" fontId="28" fillId="17" borderId="8" xfId="0" applyFont="1" applyFill="1" applyBorder="1" applyAlignment="1">
      <alignment/>
    </xf>
    <xf numFmtId="3" fontId="22" fillId="17" borderId="8" xfId="0" applyNumberFormat="1" applyFont="1" applyFill="1" applyBorder="1" applyAlignment="1">
      <alignment/>
    </xf>
    <xf numFmtId="3" fontId="33" fillId="17" borderId="8" xfId="0" applyNumberFormat="1" applyFont="1" applyFill="1" applyBorder="1" applyAlignment="1">
      <alignment/>
    </xf>
    <xf numFmtId="0" fontId="28" fillId="17" borderId="0" xfId="0" applyFont="1" applyFill="1" applyBorder="1" applyAlignment="1">
      <alignment/>
    </xf>
    <xf numFmtId="3" fontId="22" fillId="17" borderId="0" xfId="0" applyNumberFormat="1" applyFont="1" applyFill="1" applyBorder="1" applyAlignment="1">
      <alignment/>
    </xf>
    <xf numFmtId="0" fontId="44" fillId="22" borderId="7" xfId="0" applyNumberFormat="1" applyFont="1" applyFill="1" applyBorder="1" applyAlignment="1">
      <alignment vertical="center"/>
    </xf>
    <xf numFmtId="0" fontId="44" fillId="22" borderId="7" xfId="0" applyFont="1" applyFill="1" applyBorder="1" applyAlignment="1">
      <alignment vertical="center"/>
    </xf>
    <xf numFmtId="3" fontId="2" fillId="17" borderId="8" xfId="0" applyNumberFormat="1" applyFont="1" applyFill="1" applyBorder="1" applyAlignment="1">
      <alignment/>
    </xf>
    <xf numFmtId="3" fontId="28" fillId="17" borderId="8" xfId="0" applyNumberFormat="1" applyFont="1" applyFill="1" applyBorder="1" applyAlignment="1" applyProtection="1">
      <alignment/>
      <protection/>
    </xf>
    <xf numFmtId="3" fontId="28" fillId="17" borderId="8" xfId="0" applyNumberFormat="1" applyFont="1" applyFill="1" applyBorder="1" applyAlignment="1">
      <alignment/>
    </xf>
    <xf numFmtId="3" fontId="33" fillId="17" borderId="0" xfId="0" applyNumberFormat="1" applyFont="1" applyFill="1" applyBorder="1" applyAlignment="1">
      <alignment/>
    </xf>
    <xf numFmtId="3" fontId="28" fillId="17" borderId="0" xfId="0" applyNumberFormat="1" applyFont="1" applyFill="1" applyBorder="1" applyAlignment="1">
      <alignment/>
    </xf>
    <xf numFmtId="174" fontId="2" fillId="17" borderId="0" xfId="0" applyNumberFormat="1" applyFont="1" applyFill="1" applyBorder="1" applyAlignment="1">
      <alignment/>
    </xf>
    <xf numFmtId="0" fontId="20" fillId="17" borderId="8" xfId="0" applyFont="1" applyFill="1" applyBorder="1" applyAlignment="1">
      <alignment/>
    </xf>
    <xf numFmtId="175" fontId="2" fillId="17" borderId="8" xfId="0" applyNumberFormat="1" applyFont="1" applyFill="1" applyBorder="1" applyAlignment="1">
      <alignment/>
    </xf>
    <xf numFmtId="175" fontId="28" fillId="17" borderId="8" xfId="0" applyNumberFormat="1" applyFont="1" applyFill="1" applyBorder="1" applyAlignment="1">
      <alignment/>
    </xf>
    <xf numFmtId="175" fontId="2" fillId="17" borderId="0" xfId="0" applyNumberFormat="1" applyFont="1" applyFill="1" applyBorder="1" applyAlignment="1">
      <alignment/>
    </xf>
    <xf numFmtId="175" fontId="33" fillId="17" borderId="8" xfId="0" applyNumberFormat="1" applyFont="1" applyFill="1" applyBorder="1" applyAlignment="1">
      <alignment/>
    </xf>
    <xf numFmtId="0" fontId="29" fillId="17" borderId="0" xfId="59" applyFont="1" applyFill="1" applyAlignment="1">
      <alignment vertical="top"/>
      <protection/>
    </xf>
    <xf numFmtId="0" fontId="2" fillId="17" borderId="0" xfId="0" applyFont="1" applyFill="1" applyBorder="1" applyAlignment="1">
      <alignment vertical="center"/>
    </xf>
    <xf numFmtId="0" fontId="2" fillId="17" borderId="0" xfId="0" applyFont="1" applyFill="1" applyAlignment="1">
      <alignment/>
    </xf>
    <xf numFmtId="0" fontId="28" fillId="17" borderId="0" xfId="60" applyFont="1" applyFill="1" applyAlignment="1">
      <alignment/>
      <protection/>
    </xf>
    <xf numFmtId="0" fontId="29" fillId="17" borderId="0" xfId="60" applyFont="1" applyFill="1" applyAlignment="1">
      <alignment/>
      <protection/>
    </xf>
    <xf numFmtId="0" fontId="24" fillId="17" borderId="0" xfId="0" applyFont="1" applyFill="1" applyBorder="1" applyAlignment="1">
      <alignment/>
    </xf>
    <xf numFmtId="0" fontId="24" fillId="17" borderId="0" xfId="0" applyFont="1" applyFill="1" applyAlignment="1">
      <alignment/>
    </xf>
    <xf numFmtId="0" fontId="20" fillId="17" borderId="0" xfId="0" applyFont="1" applyFill="1" applyBorder="1" applyAlignment="1">
      <alignment/>
    </xf>
    <xf numFmtId="0" fontId="44" fillId="20" borderId="9" xfId="0" applyNumberFormat="1" applyFont="1" applyFill="1" applyBorder="1" applyAlignment="1">
      <alignment vertical="center"/>
    </xf>
    <xf numFmtId="0" fontId="44" fillId="20" borderId="9" xfId="0" applyFont="1" applyFill="1" applyBorder="1" applyAlignment="1">
      <alignment vertical="center"/>
    </xf>
    <xf numFmtId="0" fontId="20" fillId="21" borderId="0" xfId="0" applyFont="1" applyFill="1" applyBorder="1" applyAlignment="1">
      <alignment/>
    </xf>
    <xf numFmtId="3" fontId="20" fillId="21" borderId="0" xfId="0" applyNumberFormat="1" applyFont="1" applyFill="1" applyBorder="1" applyAlignment="1">
      <alignment/>
    </xf>
    <xf numFmtId="0" fontId="2" fillId="0" borderId="0" xfId="0" applyFont="1" applyBorder="1" applyAlignment="1">
      <alignment/>
    </xf>
    <xf numFmtId="3" fontId="2" fillId="0" borderId="0" xfId="0" applyNumberFormat="1" applyFont="1" applyBorder="1" applyAlignment="1">
      <alignment/>
    </xf>
    <xf numFmtId="3" fontId="2" fillId="17" borderId="8" xfId="0" applyNumberFormat="1" applyFont="1" applyFill="1" applyBorder="1" applyAlignment="1">
      <alignment wrapText="1"/>
    </xf>
    <xf numFmtId="0" fontId="44" fillId="20" borderId="10" xfId="0" applyFont="1" applyFill="1" applyBorder="1" applyAlignment="1">
      <alignment vertical="center"/>
    </xf>
    <xf numFmtId="0" fontId="44" fillId="20" borderId="11" xfId="0" applyFont="1" applyFill="1" applyBorder="1" applyAlignment="1">
      <alignment vertical="center"/>
    </xf>
    <xf numFmtId="174" fontId="2" fillId="17" borderId="12" xfId="44" applyNumberFormat="1" applyFont="1" applyFill="1" applyBorder="1" applyAlignment="1" applyProtection="1">
      <alignment/>
      <protection locked="0"/>
    </xf>
    <xf numFmtId="174" fontId="22" fillId="17" borderId="12" xfId="44" applyNumberFormat="1" applyFont="1" applyFill="1" applyBorder="1" applyAlignment="1" applyProtection="1">
      <alignment/>
      <protection locked="0"/>
    </xf>
    <xf numFmtId="0" fontId="2" fillId="17" borderId="12" xfId="0" applyFont="1" applyFill="1" applyBorder="1" applyAlignment="1">
      <alignment/>
    </xf>
    <xf numFmtId="174" fontId="2" fillId="17" borderId="12" xfId="0" applyNumberFormat="1" applyFont="1" applyFill="1" applyBorder="1" applyAlignment="1">
      <alignment/>
    </xf>
    <xf numFmtId="174" fontId="20" fillId="17" borderId="12" xfId="0" applyNumberFormat="1" applyFont="1" applyFill="1" applyBorder="1" applyAlignment="1">
      <alignment/>
    </xf>
    <xf numFmtId="3" fontId="20" fillId="21" borderId="9" xfId="0" applyNumberFormat="1" applyFont="1" applyFill="1" applyBorder="1" applyAlignment="1">
      <alignment/>
    </xf>
    <xf numFmtId="0" fontId="2" fillId="17" borderId="9" xfId="0" applyFont="1" applyFill="1" applyBorder="1" applyAlignment="1">
      <alignment/>
    </xf>
    <xf numFmtId="3" fontId="22" fillId="0" borderId="8" xfId="0" applyNumberFormat="1" applyFont="1" applyFill="1" applyBorder="1" applyAlignment="1">
      <alignment/>
    </xf>
    <xf numFmtId="174" fontId="2" fillId="0" borderId="9" xfId="42" applyNumberFormat="1" applyFont="1" applyFill="1" applyBorder="1" applyAlignment="1" applyProtection="1">
      <alignment/>
      <protection locked="0"/>
    </xf>
    <xf numFmtId="3" fontId="2" fillId="0" borderId="8" xfId="0" applyNumberFormat="1" applyFont="1" applyFill="1" applyBorder="1" applyAlignment="1">
      <alignment/>
    </xf>
    <xf numFmtId="3" fontId="2" fillId="17" borderId="9" xfId="0" applyNumberFormat="1" applyFont="1" applyFill="1" applyBorder="1" applyAlignment="1">
      <alignment/>
    </xf>
    <xf numFmtId="0" fontId="2" fillId="0" borderId="0" xfId="0" applyFont="1" applyFill="1" applyAlignment="1">
      <alignment/>
    </xf>
    <xf numFmtId="0" fontId="24" fillId="0" borderId="0" xfId="0" applyFont="1" applyFill="1" applyAlignment="1">
      <alignment/>
    </xf>
    <xf numFmtId="3" fontId="22" fillId="17" borderId="9" xfId="0" applyNumberFormat="1" applyFont="1" applyFill="1" applyBorder="1" applyAlignment="1">
      <alignment/>
    </xf>
    <xf numFmtId="174" fontId="2" fillId="17" borderId="9" xfId="42" applyNumberFormat="1" applyFont="1" applyFill="1" applyBorder="1" applyAlignment="1" applyProtection="1">
      <alignment/>
      <protection locked="0"/>
    </xf>
    <xf numFmtId="174" fontId="22" fillId="17" borderId="9" xfId="42" applyNumberFormat="1" applyFont="1" applyFill="1" applyBorder="1" applyAlignment="1" applyProtection="1">
      <alignment/>
      <protection locked="0"/>
    </xf>
    <xf numFmtId="0" fontId="29" fillId="0" borderId="0" xfId="59" applyFont="1" applyFill="1" applyAlignment="1">
      <alignment/>
      <protection/>
    </xf>
    <xf numFmtId="0" fontId="2" fillId="0" borderId="0" xfId="0" applyFont="1" applyFill="1" applyBorder="1" applyAlignment="1">
      <alignment/>
    </xf>
    <xf numFmtId="0" fontId="45" fillId="0" borderId="0" xfId="0" applyFont="1" applyFill="1" applyBorder="1" applyAlignment="1">
      <alignment/>
    </xf>
    <xf numFmtId="3" fontId="33" fillId="0" borderId="8" xfId="0" applyNumberFormat="1" applyFont="1" applyFill="1" applyBorder="1" applyAlignment="1">
      <alignment/>
    </xf>
    <xf numFmtId="0" fontId="20" fillId="17" borderId="0" xfId="0" applyFont="1" applyFill="1" applyAlignment="1">
      <alignment/>
    </xf>
    <xf numFmtId="0" fontId="29" fillId="17" borderId="0" xfId="60" applyFont="1" applyFill="1" applyAlignment="1">
      <alignment wrapText="1"/>
      <protection/>
    </xf>
    <xf numFmtId="0" fontId="2" fillId="0" borderId="8" xfId="0" applyFont="1" applyFill="1" applyBorder="1" applyAlignment="1">
      <alignment/>
    </xf>
    <xf numFmtId="3" fontId="2" fillId="0" borderId="12" xfId="0" applyNumberFormat="1" applyFont="1" applyFill="1" applyBorder="1" applyAlignment="1">
      <alignment/>
    </xf>
    <xf numFmtId="174" fontId="24" fillId="17" borderId="0" xfId="0" applyNumberFormat="1" applyFont="1" applyFill="1" applyBorder="1" applyAlignment="1">
      <alignment/>
    </xf>
    <xf numFmtId="3" fontId="28" fillId="0" borderId="8" xfId="0" applyNumberFormat="1" applyFont="1" applyFill="1" applyBorder="1" applyAlignment="1">
      <alignment/>
    </xf>
    <xf numFmtId="0" fontId="2" fillId="17" borderId="13" xfId="0" applyFont="1" applyFill="1" applyBorder="1" applyAlignment="1">
      <alignment/>
    </xf>
    <xf numFmtId="0" fontId="29" fillId="18" borderId="0" xfId="59" applyFont="1" applyFill="1" applyAlignment="1">
      <alignment horizontal="left" vertical="top" wrapText="1"/>
      <protection/>
    </xf>
    <xf numFmtId="0" fontId="29" fillId="17" borderId="0" xfId="59" applyFont="1" applyFill="1" applyAlignment="1">
      <alignment horizontal="left" vertical="top" wrapText="1"/>
      <protection/>
    </xf>
    <xf numFmtId="0" fontId="28" fillId="17" borderId="0" xfId="60" applyFont="1" applyFill="1" applyAlignment="1">
      <alignment horizontal="left" vertical="top"/>
      <protection/>
    </xf>
    <xf numFmtId="0" fontId="29" fillId="17" borderId="0" xfId="60" applyFont="1" applyFill="1" applyAlignment="1">
      <alignment horizontal="left" vertical="top" wrapText="1"/>
      <protection/>
    </xf>
    <xf numFmtId="0" fontId="28" fillId="17" borderId="0" xfId="60" applyFont="1" applyFill="1" applyAlignment="1">
      <alignment horizontal="left" vertical="top" wrapText="1"/>
      <protection/>
    </xf>
    <xf numFmtId="0" fontId="29" fillId="17" borderId="0" xfId="55" applyFont="1" applyFill="1" applyAlignment="1" applyProtection="1">
      <alignment vertical="top"/>
      <protection/>
    </xf>
    <xf numFmtId="0" fontId="2" fillId="17" borderId="0" xfId="0" applyFont="1" applyFill="1" applyBorder="1" applyAlignment="1">
      <alignment vertical="top" wrapText="1"/>
    </xf>
    <xf numFmtId="174" fontId="20" fillId="17" borderId="14" xfId="44" applyNumberFormat="1" applyFont="1" applyFill="1" applyBorder="1" applyAlignment="1" applyProtection="1">
      <alignment/>
      <protection locked="0"/>
    </xf>
    <xf numFmtId="174" fontId="20" fillId="17" borderId="15" xfId="0" applyNumberFormat="1" applyFont="1" applyFill="1" applyBorder="1" applyAlignment="1">
      <alignment/>
    </xf>
    <xf numFmtId="3" fontId="2" fillId="0" borderId="16" xfId="0" applyNumberFormat="1" applyFont="1" applyBorder="1" applyAlignment="1">
      <alignment/>
    </xf>
    <xf numFmtId="0" fontId="2" fillId="17" borderId="0" xfId="0" applyFont="1" applyFill="1" applyAlignment="1">
      <alignment/>
    </xf>
    <xf numFmtId="0" fontId="2" fillId="0" borderId="0" xfId="0" applyFont="1" applyFill="1" applyBorder="1" applyAlignment="1">
      <alignment vertical="center"/>
    </xf>
    <xf numFmtId="0" fontId="22" fillId="0" borderId="0" xfId="0" applyFont="1" applyFill="1" applyBorder="1" applyAlignment="1">
      <alignment/>
    </xf>
    <xf numFmtId="0" fontId="44" fillId="20" borderId="0" xfId="0" applyFont="1" applyFill="1" applyBorder="1" applyAlignment="1">
      <alignment vertical="center"/>
    </xf>
    <xf numFmtId="3" fontId="2" fillId="0" borderId="17" xfId="0" applyNumberFormat="1" applyFont="1" applyFill="1" applyBorder="1" applyAlignment="1">
      <alignment/>
    </xf>
    <xf numFmtId="3" fontId="2" fillId="0" borderId="18" xfId="0" applyNumberFormat="1" applyFont="1" applyFill="1" applyBorder="1" applyAlignment="1">
      <alignment/>
    </xf>
    <xf numFmtId="3" fontId="45" fillId="17" borderId="8" xfId="0" applyNumberFormat="1" applyFont="1" applyFill="1" applyBorder="1" applyAlignment="1">
      <alignment/>
    </xf>
    <xf numFmtId="3" fontId="45" fillId="17" borderId="8" xfId="0" applyNumberFormat="1" applyFont="1" applyFill="1" applyBorder="1" applyAlignment="1">
      <alignment wrapText="1"/>
    </xf>
    <xf numFmtId="3" fontId="22" fillId="0" borderId="0" xfId="0" applyNumberFormat="1" applyFont="1" applyFill="1" applyBorder="1" applyAlignment="1">
      <alignment/>
    </xf>
    <xf numFmtId="0" fontId="28" fillId="0" borderId="0" xfId="59" applyFont="1" applyFill="1" applyAlignment="1">
      <alignment vertical="top" wrapText="1"/>
      <protection/>
    </xf>
    <xf numFmtId="0" fontId="28" fillId="0" borderId="0" xfId="60" applyFont="1" applyFill="1" applyAlignment="1">
      <alignment vertical="top" wrapText="1"/>
      <protection/>
    </xf>
    <xf numFmtId="14" fontId="2" fillId="0" borderId="0" xfId="0" applyNumberFormat="1" applyFont="1" applyFill="1" applyBorder="1" applyAlignment="1">
      <alignment/>
    </xf>
    <xf numFmtId="0" fontId="28" fillId="0" borderId="0" xfId="60" applyFont="1" applyFill="1" applyAlignment="1">
      <alignment/>
      <protection/>
    </xf>
    <xf numFmtId="0" fontId="28" fillId="0" borderId="0" xfId="0" applyFont="1" applyFill="1" applyBorder="1" applyAlignment="1">
      <alignment/>
    </xf>
    <xf numFmtId="174" fontId="28" fillId="17" borderId="12" xfId="44" applyNumberFormat="1" applyFont="1" applyFill="1" applyBorder="1" applyAlignment="1" applyProtection="1">
      <alignment/>
      <protection locked="0"/>
    </xf>
    <xf numFmtId="174" fontId="28" fillId="17" borderId="9" xfId="42" applyNumberFormat="1" applyFont="1" applyFill="1" applyBorder="1" applyAlignment="1" applyProtection="1">
      <alignment/>
      <protection locked="0"/>
    </xf>
    <xf numFmtId="3" fontId="28" fillId="0" borderId="9" xfId="0" applyNumberFormat="1" applyFont="1" applyFill="1" applyBorder="1" applyAlignment="1">
      <alignment/>
    </xf>
    <xf numFmtId="174" fontId="23" fillId="0" borderId="0" xfId="42" applyNumberFormat="1" applyFont="1" applyAlignment="1">
      <alignment horizontal="right"/>
    </xf>
    <xf numFmtId="174" fontId="29" fillId="17" borderId="12" xfId="44" applyNumberFormat="1" applyFont="1" applyFill="1" applyBorder="1" applyAlignment="1" applyProtection="1">
      <alignment/>
      <protection locked="0"/>
    </xf>
    <xf numFmtId="174" fontId="29" fillId="17" borderId="14" xfId="44" applyNumberFormat="1" applyFont="1" applyFill="1" applyBorder="1" applyAlignment="1" applyProtection="1">
      <alignment/>
      <protection locked="0"/>
    </xf>
    <xf numFmtId="0" fontId="45" fillId="0" borderId="0" xfId="0" applyFont="1" applyFill="1" applyBorder="1" applyAlignment="1">
      <alignment/>
    </xf>
    <xf numFmtId="3" fontId="45" fillId="0" borderId="8" xfId="0" applyNumberFormat="1" applyFont="1" applyFill="1" applyBorder="1" applyAlignment="1">
      <alignment/>
    </xf>
    <xf numFmtId="3" fontId="22" fillId="0" borderId="16" xfId="0" applyNumberFormat="1" applyFont="1" applyBorder="1" applyAlignment="1">
      <alignment/>
    </xf>
    <xf numFmtId="0" fontId="45" fillId="17" borderId="0" xfId="0" applyFont="1" applyFill="1" applyBorder="1" applyAlignment="1">
      <alignment/>
    </xf>
    <xf numFmtId="3" fontId="2" fillId="0" borderId="19" xfId="0" applyNumberFormat="1" applyFont="1" applyBorder="1" applyAlignment="1">
      <alignment/>
    </xf>
    <xf numFmtId="174" fontId="29" fillId="0" borderId="14" xfId="44" applyNumberFormat="1" applyFont="1" applyFill="1" applyBorder="1" applyAlignment="1" applyProtection="1">
      <alignment/>
      <protection locked="0"/>
    </xf>
    <xf numFmtId="174" fontId="24" fillId="17" borderId="0" xfId="0" applyNumberFormat="1" applyFont="1" applyFill="1" applyAlignment="1">
      <alignment/>
    </xf>
    <xf numFmtId="174" fontId="29" fillId="17" borderId="15" xfId="0" applyNumberFormat="1" applyFont="1" applyFill="1" applyBorder="1" applyAlignment="1">
      <alignment/>
    </xf>
    <xf numFmtId="174" fontId="2" fillId="17" borderId="9" xfId="0" applyNumberFormat="1" applyFont="1" applyFill="1" applyBorder="1" applyAlignment="1">
      <alignment/>
    </xf>
    <xf numFmtId="0" fontId="34" fillId="0" borderId="0" xfId="0" applyFont="1" applyFill="1" applyBorder="1" applyAlignment="1">
      <alignment/>
    </xf>
    <xf numFmtId="3" fontId="33" fillId="23" borderId="8" xfId="0" applyNumberFormat="1" applyFont="1" applyFill="1" applyBorder="1" applyAlignment="1">
      <alignment/>
    </xf>
    <xf numFmtId="3" fontId="28" fillId="23" borderId="8" xfId="0" applyNumberFormat="1" applyFont="1" applyFill="1" applyBorder="1" applyAlignment="1">
      <alignment/>
    </xf>
    <xf numFmtId="3" fontId="33" fillId="24" borderId="8" xfId="0" applyNumberFormat="1" applyFont="1" applyFill="1" applyBorder="1" applyAlignment="1">
      <alignment/>
    </xf>
    <xf numFmtId="3" fontId="29" fillId="21" borderId="9" xfId="0" applyNumberFormat="1" applyFont="1" applyFill="1" applyBorder="1" applyAlignment="1">
      <alignment/>
    </xf>
    <xf numFmtId="3" fontId="33" fillId="0" borderId="16" xfId="0" applyNumberFormat="1" applyFont="1" applyBorder="1" applyAlignment="1">
      <alignment/>
    </xf>
    <xf numFmtId="3" fontId="28" fillId="0" borderId="19" xfId="0" applyNumberFormat="1" applyFont="1" applyBorder="1" applyAlignment="1">
      <alignment/>
    </xf>
    <xf numFmtId="3" fontId="46" fillId="0" borderId="8" xfId="0" applyNumberFormat="1" applyFont="1" applyFill="1" applyBorder="1" applyAlignment="1">
      <alignment/>
    </xf>
    <xf numFmtId="0" fontId="34" fillId="23" borderId="0" xfId="0" applyFont="1" applyFill="1" applyAlignment="1">
      <alignment/>
    </xf>
    <xf numFmtId="0" fontId="24" fillId="24" borderId="0" xfId="0" applyFont="1" applyFill="1" applyAlignment="1">
      <alignment/>
    </xf>
    <xf numFmtId="0" fontId="29" fillId="0" borderId="0" xfId="55" applyFont="1" applyFill="1" applyAlignment="1" applyProtection="1">
      <alignmen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Date"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Broadband by LA wards V1 2" xfId="59"/>
    <cellStyle name="Normal_BS1_Market_Size 2" xfId="60"/>
    <cellStyle name="Note" xfId="61"/>
    <cellStyle name="Output" xfId="62"/>
    <cellStyle name="Percent" xfId="63"/>
    <cellStyle name="Style 1"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Proportion of UK households with internet access</a:t>
            </a:r>
          </a:p>
        </c:rich>
      </c:tx>
      <c:layout>
        <c:manualLayout>
          <c:xMode val="factor"/>
          <c:yMode val="factor"/>
          <c:x val="0.077"/>
          <c:y val="0.011"/>
        </c:manualLayout>
      </c:layout>
      <c:spPr>
        <a:noFill/>
        <a:ln w="3175">
          <a:noFill/>
        </a:ln>
      </c:spPr>
    </c:title>
    <c:plotArea>
      <c:layout>
        <c:manualLayout>
          <c:xMode val="edge"/>
          <c:yMode val="edge"/>
          <c:x val="0.07675"/>
          <c:y val="0.1065"/>
          <c:w val="0.702"/>
          <c:h val="0.79775"/>
        </c:manualLayout>
      </c:layout>
      <c:lineChart>
        <c:grouping val="standard"/>
        <c:varyColors val="0"/>
        <c:ser>
          <c:idx val="4"/>
          <c:order val="0"/>
          <c:tx>
            <c:strRef>
              <c:f>'Statistics Q2 16'!$A$44</c:f>
              <c:strCache>
                <c:ptCount val="1"/>
                <c:pt idx="0">
                  <c:v>Broadband penetration</c:v>
                </c:pt>
              </c:strCache>
            </c:strRef>
          </c:tx>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3399"/>
              </a:solidFill>
              <a:ln>
                <a:solidFill>
                  <a:srgbClr val="333399"/>
                </a:solidFill>
              </a:ln>
            </c:spPr>
          </c:marker>
          <c:cat>
            <c:strRef>
              <c:f>'Statistics Q2 16'!$Q$42:$AN$42</c:f>
              <c:strCache>
                <c:ptCount val="24"/>
                <c:pt idx="0">
                  <c:v>Q3 2010</c:v>
                </c:pt>
                <c:pt idx="1">
                  <c:v>Q4 2010</c:v>
                </c:pt>
                <c:pt idx="2">
                  <c:v>Q1 2011</c:v>
                </c:pt>
                <c:pt idx="3">
                  <c:v>Q2 2011</c:v>
                </c:pt>
                <c:pt idx="4">
                  <c:v>Q3 2011</c:v>
                </c:pt>
                <c:pt idx="5">
                  <c:v>Q4 2011</c:v>
                </c:pt>
                <c:pt idx="6">
                  <c:v>Q1 2012</c:v>
                </c:pt>
                <c:pt idx="7">
                  <c:v>Q2 2012</c:v>
                </c:pt>
                <c:pt idx="8">
                  <c:v>Q3 2012</c:v>
                </c:pt>
                <c:pt idx="9">
                  <c:v>Q4 2012</c:v>
                </c:pt>
                <c:pt idx="10">
                  <c:v>Q1 2013</c:v>
                </c:pt>
                <c:pt idx="11">
                  <c:v>Q2 2013</c:v>
                </c:pt>
                <c:pt idx="12">
                  <c:v>Q3 2013</c:v>
                </c:pt>
                <c:pt idx="13">
                  <c:v>Q4 2013</c:v>
                </c:pt>
                <c:pt idx="14">
                  <c:v>Q1 2014</c:v>
                </c:pt>
                <c:pt idx="15">
                  <c:v>Q2 2014</c:v>
                </c:pt>
                <c:pt idx="16">
                  <c:v>Q3 2014</c:v>
                </c:pt>
                <c:pt idx="17">
                  <c:v>Q4 2014</c:v>
                </c:pt>
                <c:pt idx="18">
                  <c:v>Q1 2015</c:v>
                </c:pt>
                <c:pt idx="19">
                  <c:v>Q2 2015</c:v>
                </c:pt>
                <c:pt idx="20">
                  <c:v>Q3 2015</c:v>
                </c:pt>
                <c:pt idx="21">
                  <c:v>Q4 2015</c:v>
                </c:pt>
                <c:pt idx="22">
                  <c:v>Q1 2016</c:v>
                </c:pt>
                <c:pt idx="23">
                  <c:v>Q2 2016</c:v>
                </c:pt>
              </c:strCache>
            </c:strRef>
          </c:cat>
          <c:val>
            <c:numRef>
              <c:f>'Statistics Q2 16'!$Q$44:$AN$44</c:f>
              <c:numCache>
                <c:ptCount val="24"/>
                <c:pt idx="0">
                  <c:v>0.6432770575821526</c:v>
                </c:pt>
                <c:pt idx="1">
                  <c:v>0.6569612636329447</c:v>
                </c:pt>
                <c:pt idx="2">
                  <c:v>0.6702606388444612</c:v>
                </c:pt>
                <c:pt idx="3">
                  <c:v>0.6780082222322374</c:v>
                </c:pt>
                <c:pt idx="4">
                  <c:v>0.6875492494550877</c:v>
                </c:pt>
                <c:pt idx="5">
                  <c:v>0.6973088223442387</c:v>
                </c:pt>
                <c:pt idx="6">
                  <c:v>0.7079948601240487</c:v>
                </c:pt>
                <c:pt idx="7">
                  <c:v>0.7116768330274458</c:v>
                </c:pt>
                <c:pt idx="8">
                  <c:v>0.7168889822971556</c:v>
                </c:pt>
                <c:pt idx="9">
                  <c:v>0.725813415167326</c:v>
                </c:pt>
                <c:pt idx="10">
                  <c:v>0.7360321271678053</c:v>
                </c:pt>
                <c:pt idx="11">
                  <c:v>0.74111712715183</c:v>
                </c:pt>
                <c:pt idx="12">
                  <c:v>0.74654444999959</c:v>
                </c:pt>
                <c:pt idx="13">
                  <c:v>0.7556153143814369</c:v>
                </c:pt>
                <c:pt idx="14">
                  <c:v>0.7628760585289404</c:v>
                </c:pt>
                <c:pt idx="15">
                  <c:v>0.7668866013107364</c:v>
                </c:pt>
                <c:pt idx="16">
                  <c:v>0.7733233079225451</c:v>
                </c:pt>
                <c:pt idx="17">
                  <c:v>0.7834941407271567</c:v>
                </c:pt>
                <c:pt idx="18">
                  <c:v>0.7915953123813612</c:v>
                </c:pt>
                <c:pt idx="19">
                  <c:v>0.7955052951223595</c:v>
                </c:pt>
                <c:pt idx="20">
                  <c:v>0.8013531556134513</c:v>
                </c:pt>
                <c:pt idx="21">
                  <c:v>0.808451604552233</c:v>
                </c:pt>
                <c:pt idx="22">
                  <c:v>0.8074658684874186</c:v>
                </c:pt>
                <c:pt idx="23">
                  <c:v>0.8122449801708581</c:v>
                </c:pt>
              </c:numCache>
            </c:numRef>
          </c:val>
          <c:smooth val="0"/>
        </c:ser>
        <c:ser>
          <c:idx val="3"/>
          <c:order val="1"/>
          <c:tx>
            <c:strRef>
              <c:f>'Statistics Q2 16'!$A$45</c:f>
              <c:strCache>
                <c:ptCount val="1"/>
                <c:pt idx="0">
                  <c:v>Dial-up penetration</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808000"/>
              </a:solidFill>
              <a:ln>
                <a:solidFill>
                  <a:srgbClr val="808000"/>
                </a:solidFill>
              </a:ln>
            </c:spPr>
          </c:marker>
          <c:cat>
            <c:strRef>
              <c:f>'Statistics Q2 16'!$Q$42:$AN$42</c:f>
              <c:strCache>
                <c:ptCount val="24"/>
                <c:pt idx="0">
                  <c:v>Q3 2010</c:v>
                </c:pt>
                <c:pt idx="1">
                  <c:v>Q4 2010</c:v>
                </c:pt>
                <c:pt idx="2">
                  <c:v>Q1 2011</c:v>
                </c:pt>
                <c:pt idx="3">
                  <c:v>Q2 2011</c:v>
                </c:pt>
                <c:pt idx="4">
                  <c:v>Q3 2011</c:v>
                </c:pt>
                <c:pt idx="5">
                  <c:v>Q4 2011</c:v>
                </c:pt>
                <c:pt idx="6">
                  <c:v>Q1 2012</c:v>
                </c:pt>
                <c:pt idx="7">
                  <c:v>Q2 2012</c:v>
                </c:pt>
                <c:pt idx="8">
                  <c:v>Q3 2012</c:v>
                </c:pt>
                <c:pt idx="9">
                  <c:v>Q4 2012</c:v>
                </c:pt>
                <c:pt idx="10">
                  <c:v>Q1 2013</c:v>
                </c:pt>
                <c:pt idx="11">
                  <c:v>Q2 2013</c:v>
                </c:pt>
                <c:pt idx="12">
                  <c:v>Q3 2013</c:v>
                </c:pt>
                <c:pt idx="13">
                  <c:v>Q4 2013</c:v>
                </c:pt>
                <c:pt idx="14">
                  <c:v>Q1 2014</c:v>
                </c:pt>
                <c:pt idx="15">
                  <c:v>Q2 2014</c:v>
                </c:pt>
                <c:pt idx="16">
                  <c:v>Q3 2014</c:v>
                </c:pt>
                <c:pt idx="17">
                  <c:v>Q4 2014</c:v>
                </c:pt>
                <c:pt idx="18">
                  <c:v>Q1 2015</c:v>
                </c:pt>
                <c:pt idx="19">
                  <c:v>Q2 2015</c:v>
                </c:pt>
                <c:pt idx="20">
                  <c:v>Q3 2015</c:v>
                </c:pt>
                <c:pt idx="21">
                  <c:v>Q4 2015</c:v>
                </c:pt>
                <c:pt idx="22">
                  <c:v>Q1 2016</c:v>
                </c:pt>
                <c:pt idx="23">
                  <c:v>Q2 2016</c:v>
                </c:pt>
              </c:strCache>
            </c:strRef>
          </c:cat>
          <c:val>
            <c:numRef>
              <c:f>'Statistics Q2 16'!$Q$45:$AN$45</c:f>
              <c:numCache>
                <c:ptCount val="24"/>
                <c:pt idx="0">
                  <c:v>0.026002411817907748</c:v>
                </c:pt>
                <c:pt idx="1">
                  <c:v>0.024445280180518992</c:v>
                </c:pt>
                <c:pt idx="2">
                  <c:v>0.022902196358175333</c:v>
                </c:pt>
                <c:pt idx="3">
                  <c:v>0.02136431784107946</c:v>
                </c:pt>
                <c:pt idx="4">
                  <c:v>0.01983161833489242</c:v>
                </c:pt>
                <c:pt idx="5">
                  <c:v>0.018304071722076952</c:v>
                </c:pt>
                <c:pt idx="6">
                  <c:v>0.01675353685778109</c:v>
                </c:pt>
                <c:pt idx="7">
                  <c:v>0.015213358070500928</c:v>
                </c:pt>
                <c:pt idx="8">
                  <c:v>0.013681408075728442</c:v>
                </c:pt>
                <c:pt idx="9">
                  <c:v>0.012160070749502542</c:v>
                </c:pt>
                <c:pt idx="10">
                  <c:v>0.010659217466414276</c:v>
                </c:pt>
                <c:pt idx="11">
                  <c:v>0.00916590284142988</c:v>
                </c:pt>
                <c:pt idx="12">
                  <c:v>0.007680070217784848</c:v>
                </c:pt>
                <c:pt idx="13">
                  <c:v>0.006201663505034292</c:v>
                </c:pt>
                <c:pt idx="14">
                  <c:v>0.004729852646898308</c:v>
                </c:pt>
                <c:pt idx="15">
                  <c:v>0.0032658393207054214</c:v>
                </c:pt>
                <c:pt idx="16">
                  <c:v>0.0018095289796066084</c:v>
                </c:pt>
                <c:pt idx="17">
                  <c:v>0.00036094567767550983</c:v>
                </c:pt>
                <c:pt idx="18">
                  <c:v>0</c:v>
                </c:pt>
                <c:pt idx="19">
                  <c:v>0</c:v>
                </c:pt>
                <c:pt idx="20">
                  <c:v>0</c:v>
                </c:pt>
                <c:pt idx="21">
                  <c:v>0</c:v>
                </c:pt>
                <c:pt idx="22">
                  <c:v>0</c:v>
                </c:pt>
                <c:pt idx="23">
                  <c:v>0</c:v>
                </c:pt>
              </c:numCache>
            </c:numRef>
          </c:val>
          <c:smooth val="0"/>
        </c:ser>
        <c:ser>
          <c:idx val="1"/>
          <c:order val="2"/>
          <c:tx>
            <c:strRef>
              <c:f>'Statistics Q2 16'!$A$46</c:f>
              <c:strCache>
                <c:ptCount val="1"/>
                <c:pt idx="0">
                  <c:v>Total penetration</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cat>
            <c:strRef>
              <c:f>'Statistics Q2 16'!$Q$42:$AN$42</c:f>
              <c:strCache>
                <c:ptCount val="24"/>
                <c:pt idx="0">
                  <c:v>Q3 2010</c:v>
                </c:pt>
                <c:pt idx="1">
                  <c:v>Q4 2010</c:v>
                </c:pt>
                <c:pt idx="2">
                  <c:v>Q1 2011</c:v>
                </c:pt>
                <c:pt idx="3">
                  <c:v>Q2 2011</c:v>
                </c:pt>
                <c:pt idx="4">
                  <c:v>Q3 2011</c:v>
                </c:pt>
                <c:pt idx="5">
                  <c:v>Q4 2011</c:v>
                </c:pt>
                <c:pt idx="6">
                  <c:v>Q1 2012</c:v>
                </c:pt>
                <c:pt idx="7">
                  <c:v>Q2 2012</c:v>
                </c:pt>
                <c:pt idx="8">
                  <c:v>Q3 2012</c:v>
                </c:pt>
                <c:pt idx="9">
                  <c:v>Q4 2012</c:v>
                </c:pt>
                <c:pt idx="10">
                  <c:v>Q1 2013</c:v>
                </c:pt>
                <c:pt idx="11">
                  <c:v>Q2 2013</c:v>
                </c:pt>
                <c:pt idx="12">
                  <c:v>Q3 2013</c:v>
                </c:pt>
                <c:pt idx="13">
                  <c:v>Q4 2013</c:v>
                </c:pt>
                <c:pt idx="14">
                  <c:v>Q1 2014</c:v>
                </c:pt>
                <c:pt idx="15">
                  <c:v>Q2 2014</c:v>
                </c:pt>
                <c:pt idx="16">
                  <c:v>Q3 2014</c:v>
                </c:pt>
                <c:pt idx="17">
                  <c:v>Q4 2014</c:v>
                </c:pt>
                <c:pt idx="18">
                  <c:v>Q1 2015</c:v>
                </c:pt>
                <c:pt idx="19">
                  <c:v>Q2 2015</c:v>
                </c:pt>
                <c:pt idx="20">
                  <c:v>Q3 2015</c:v>
                </c:pt>
                <c:pt idx="21">
                  <c:v>Q4 2015</c:v>
                </c:pt>
                <c:pt idx="22">
                  <c:v>Q1 2016</c:v>
                </c:pt>
                <c:pt idx="23">
                  <c:v>Q2 2016</c:v>
                </c:pt>
              </c:strCache>
            </c:strRef>
          </c:cat>
          <c:val>
            <c:numRef>
              <c:f>'Statistics Q2 16'!$Q$46:$AN$46</c:f>
              <c:numCache>
                <c:ptCount val="24"/>
                <c:pt idx="0">
                  <c:v>0.6692794694000603</c:v>
                </c:pt>
                <c:pt idx="1">
                  <c:v>0.6814065438134637</c:v>
                </c:pt>
                <c:pt idx="2">
                  <c:v>0.6931628352026366</c:v>
                </c:pt>
                <c:pt idx="3">
                  <c:v>0.699372540073317</c:v>
                </c:pt>
                <c:pt idx="4">
                  <c:v>0.7073808677899801</c:v>
                </c:pt>
                <c:pt idx="5">
                  <c:v>0.7156128940663157</c:v>
                </c:pt>
                <c:pt idx="6">
                  <c:v>0.7247483969818298</c:v>
                </c:pt>
                <c:pt idx="7">
                  <c:v>0.7268901910979467</c:v>
                </c:pt>
                <c:pt idx="8">
                  <c:v>0.7305703903728841</c:v>
                </c:pt>
                <c:pt idx="9">
                  <c:v>0.7379734859168285</c:v>
                </c:pt>
                <c:pt idx="10">
                  <c:v>0.7466913446342196</c:v>
                </c:pt>
                <c:pt idx="11">
                  <c:v>0.7502830299932599</c:v>
                </c:pt>
                <c:pt idx="12">
                  <c:v>0.7542245202173748</c:v>
                </c:pt>
                <c:pt idx="13">
                  <c:v>0.7618169778864712</c:v>
                </c:pt>
                <c:pt idx="14">
                  <c:v>0.7676059111758387</c:v>
                </c:pt>
                <c:pt idx="15">
                  <c:v>0.7701524406314418</c:v>
                </c:pt>
                <c:pt idx="16">
                  <c:v>0.7751328369021517</c:v>
                </c:pt>
                <c:pt idx="17">
                  <c:v>0.7838550864048323</c:v>
                </c:pt>
                <c:pt idx="18">
                  <c:v>0.7915953123813612</c:v>
                </c:pt>
                <c:pt idx="19">
                  <c:v>0.7955052951223595</c:v>
                </c:pt>
                <c:pt idx="20">
                  <c:v>0.8013531556134513</c:v>
                </c:pt>
                <c:pt idx="21">
                  <c:v>0.808451604552233</c:v>
                </c:pt>
                <c:pt idx="22">
                  <c:v>0.8074658684874186</c:v>
                </c:pt>
                <c:pt idx="23">
                  <c:v>0.8122449801708581</c:v>
                </c:pt>
              </c:numCache>
            </c:numRef>
          </c:val>
          <c:smooth val="0"/>
        </c:ser>
        <c:marker val="1"/>
        <c:axId val="27808169"/>
        <c:axId val="48946930"/>
      </c:lineChart>
      <c:catAx>
        <c:axId val="278081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8946930"/>
        <c:crosses val="autoZero"/>
        <c:auto val="1"/>
        <c:lblOffset val="100"/>
        <c:tickLblSkip val="4"/>
        <c:noMultiLvlLbl val="0"/>
      </c:catAx>
      <c:valAx>
        <c:axId val="48946930"/>
        <c:scaling>
          <c:orientation val="minMax"/>
        </c:scaling>
        <c:axPos val="l"/>
        <c:title>
          <c:tx>
            <c:rich>
              <a:bodyPr vert="horz" rot="-5400000" anchor="ctr"/>
              <a:lstStyle/>
              <a:p>
                <a:pPr algn="ctr">
                  <a:defRPr/>
                </a:pPr>
                <a:r>
                  <a:rPr lang="en-US" cap="none" sz="1100" b="1" i="0" u="none" baseline="0">
                    <a:solidFill>
                      <a:srgbClr val="000000"/>
                    </a:solidFill>
                  </a:rPr>
                  <a:t>Household penetration</a:t>
                </a:r>
              </a:p>
            </c:rich>
          </c:tx>
          <c:layout>
            <c:manualLayout>
              <c:xMode val="factor"/>
              <c:yMode val="factor"/>
              <c:x val="-0.02075"/>
              <c:y val="0.011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7808169"/>
        <c:crossesAt val="1"/>
        <c:crossBetween val="between"/>
        <c:dispUnits/>
      </c:valAx>
      <c:spPr>
        <a:noFill/>
        <a:ln>
          <a:noFill/>
        </a:ln>
      </c:spPr>
    </c:plotArea>
    <c:legend>
      <c:legendPos val="r"/>
      <c:layout>
        <c:manualLayout>
          <c:xMode val="edge"/>
          <c:yMode val="edge"/>
          <c:x val="0.78975"/>
          <c:y val="0.411"/>
          <c:w val="0.2"/>
          <c:h val="0.209"/>
        </c:manualLayout>
      </c:layout>
      <c:overlay val="0"/>
      <c:spPr>
        <a:solidFill>
          <a:srgbClr val="FFFFFF"/>
        </a:solid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Broadband lines added in the UK 2010 to 2016</a:t>
            </a:r>
          </a:p>
        </c:rich>
      </c:tx>
      <c:layout>
        <c:manualLayout>
          <c:xMode val="factor"/>
          <c:yMode val="factor"/>
          <c:x val="0.043"/>
          <c:y val="0.0015"/>
        </c:manualLayout>
      </c:layout>
      <c:spPr>
        <a:noFill/>
        <a:ln w="3175">
          <a:noFill/>
        </a:ln>
      </c:spPr>
    </c:title>
    <c:plotArea>
      <c:layout>
        <c:manualLayout>
          <c:xMode val="edge"/>
          <c:yMode val="edge"/>
          <c:x val="0.0185"/>
          <c:y val="0.0945"/>
          <c:w val="0.9585"/>
          <c:h val="0.848"/>
        </c:manualLayout>
      </c:layout>
      <c:barChart>
        <c:barDir val="col"/>
        <c:grouping val="clustered"/>
        <c:varyColors val="0"/>
        <c:ser>
          <c:idx val="1"/>
          <c:order val="0"/>
          <c:tx>
            <c:strRef>
              <c:f>'Statistics Q2 16'!$A$11</c:f>
              <c:strCache>
                <c:ptCount val="1"/>
                <c:pt idx="0">
                  <c:v>Net adds</c:v>
                </c:pt>
              </c:strCache>
            </c:strRef>
          </c:tx>
          <c:spPr>
            <a:solidFill>
              <a:srgbClr val="E46C0A"/>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'Statistics Q2 16'!$Q$7:$AN$7</c:f>
              <c:strCache>
                <c:ptCount val="24"/>
                <c:pt idx="0">
                  <c:v>Q3 2010</c:v>
                </c:pt>
                <c:pt idx="1">
                  <c:v>Q4 2010</c:v>
                </c:pt>
                <c:pt idx="2">
                  <c:v>Q1 2011</c:v>
                </c:pt>
                <c:pt idx="3">
                  <c:v>Q2 2011</c:v>
                </c:pt>
                <c:pt idx="4">
                  <c:v>Q3 2011</c:v>
                </c:pt>
                <c:pt idx="5">
                  <c:v>Q4 2011</c:v>
                </c:pt>
                <c:pt idx="6">
                  <c:v>Q1 2012</c:v>
                </c:pt>
                <c:pt idx="7">
                  <c:v>Q2 2012</c:v>
                </c:pt>
                <c:pt idx="8">
                  <c:v>Q3 2012</c:v>
                </c:pt>
                <c:pt idx="9">
                  <c:v>Q4 2012</c:v>
                </c:pt>
                <c:pt idx="10">
                  <c:v>Q1 2013</c:v>
                </c:pt>
                <c:pt idx="11">
                  <c:v>Q2 2013</c:v>
                </c:pt>
                <c:pt idx="12">
                  <c:v>Q3 2013</c:v>
                </c:pt>
                <c:pt idx="13">
                  <c:v>Q4 2013</c:v>
                </c:pt>
                <c:pt idx="14">
                  <c:v>Q1 2014</c:v>
                </c:pt>
                <c:pt idx="15">
                  <c:v>Q2 2014</c:v>
                </c:pt>
                <c:pt idx="16">
                  <c:v>Q3 2014</c:v>
                </c:pt>
                <c:pt idx="17">
                  <c:v>Q4 2014</c:v>
                </c:pt>
                <c:pt idx="18">
                  <c:v>Q1 2015</c:v>
                </c:pt>
                <c:pt idx="19">
                  <c:v>Q2 2015</c:v>
                </c:pt>
                <c:pt idx="20">
                  <c:v>Q3 2015</c:v>
                </c:pt>
                <c:pt idx="21">
                  <c:v>Q4 2015</c:v>
                </c:pt>
                <c:pt idx="22">
                  <c:v>Q1 2016</c:v>
                </c:pt>
                <c:pt idx="23">
                  <c:v>Q2 2016</c:v>
                </c:pt>
              </c:strCache>
            </c:strRef>
          </c:cat>
          <c:val>
            <c:numRef>
              <c:f>'Statistics Q2 16'!$Q$11:$AN$11</c:f>
              <c:numCache>
                <c:ptCount val="24"/>
                <c:pt idx="0">
                  <c:v>230000</c:v>
                </c:pt>
                <c:pt idx="1">
                  <c:v>398600</c:v>
                </c:pt>
                <c:pt idx="2">
                  <c:v>301500</c:v>
                </c:pt>
                <c:pt idx="3">
                  <c:v>239100</c:v>
                </c:pt>
                <c:pt idx="4">
                  <c:v>288000</c:v>
                </c:pt>
                <c:pt idx="5">
                  <c:v>294300</c:v>
                </c:pt>
                <c:pt idx="6">
                  <c:v>352100</c:v>
                </c:pt>
                <c:pt idx="7">
                  <c:v>162700</c:v>
                </c:pt>
                <c:pt idx="8">
                  <c:v>207600</c:v>
                </c:pt>
                <c:pt idx="9">
                  <c:v>309800</c:v>
                </c:pt>
                <c:pt idx="10">
                  <c:v>328500</c:v>
                </c:pt>
                <c:pt idx="11">
                  <c:v>188400</c:v>
                </c:pt>
                <c:pt idx="12">
                  <c:v>200800</c:v>
                </c:pt>
                <c:pt idx="13">
                  <c:v>300700</c:v>
                </c:pt>
                <c:pt idx="14">
                  <c:v>253400</c:v>
                </c:pt>
                <c:pt idx="15">
                  <c:v>165300</c:v>
                </c:pt>
                <c:pt idx="16">
                  <c:v>233700</c:v>
                </c:pt>
                <c:pt idx="17">
                  <c:v>339400</c:v>
                </c:pt>
                <c:pt idx="18">
                  <c:v>280700</c:v>
                </c:pt>
                <c:pt idx="19">
                  <c:v>165700</c:v>
                </c:pt>
                <c:pt idx="20">
                  <c:v>220600</c:v>
                </c:pt>
                <c:pt idx="21">
                  <c:v>255200</c:v>
                </c:pt>
                <c:pt idx="22">
                  <c:v>203500</c:v>
                </c:pt>
                <c:pt idx="23">
                  <c:v>191800</c:v>
                </c:pt>
              </c:numCache>
            </c:numRef>
          </c:val>
        </c:ser>
        <c:axId val="37869187"/>
        <c:axId val="5278364"/>
      </c:barChart>
      <c:catAx>
        <c:axId val="37869187"/>
        <c:scaling>
          <c:orientation val="minMax"/>
        </c:scaling>
        <c:axPos val="b"/>
        <c:minorGridlines>
          <c:spPr>
            <a:ln w="3175">
              <a:solidFill>
                <a:srgbClr val="FFFFFF"/>
              </a:solidFill>
            </a:ln>
          </c:spPr>
        </c:minorGridlines>
        <c:delete val="0"/>
        <c:numFmt formatCode="General" sourceLinked="1"/>
        <c:majorTickMark val="out"/>
        <c:minorTickMark val="none"/>
        <c:tickLblPos val="nextTo"/>
        <c:spPr>
          <a:ln w="3175">
            <a:solidFill>
              <a:srgbClr val="808080"/>
            </a:solidFill>
          </a:ln>
        </c:spPr>
        <c:crossAx val="5278364"/>
        <c:crosses val="autoZero"/>
        <c:auto val="1"/>
        <c:lblOffset val="100"/>
        <c:tickLblSkip val="1"/>
        <c:noMultiLvlLbl val="0"/>
      </c:catAx>
      <c:valAx>
        <c:axId val="5278364"/>
        <c:scaling>
          <c:orientation val="minMax"/>
        </c:scaling>
        <c:axPos val="l"/>
        <c:title>
          <c:tx>
            <c:rich>
              <a:bodyPr vert="horz" rot="-5400000" anchor="ctr"/>
              <a:lstStyle/>
              <a:p>
                <a:pPr algn="ctr">
                  <a:defRPr/>
                </a:pPr>
                <a:r>
                  <a:rPr lang="en-US" cap="none" sz="1000" b="1" i="0" u="none" baseline="0">
                    <a:solidFill>
                      <a:srgbClr val="000000"/>
                    </a:solidFill>
                  </a:rPr>
                  <a:t>Broadband Net Additions</a:t>
                </a:r>
              </a:p>
            </c:rich>
          </c:tx>
          <c:layout>
            <c:manualLayout>
              <c:xMode val="factor"/>
              <c:yMode val="factor"/>
              <c:x val="-0.0105"/>
              <c:y val="0"/>
            </c:manualLayout>
          </c:layout>
          <c:overlay val="0"/>
          <c:spPr>
            <a:noFill/>
            <a:ln w="3175">
              <a:noFill/>
            </a:ln>
          </c:spPr>
        </c:title>
        <c:minorGridlines>
          <c:spPr>
            <a:ln w="3175">
              <a:solidFill>
                <a:srgbClr val="FFFFFF"/>
              </a:solidFill>
            </a:ln>
          </c:spPr>
        </c:minorGridlines>
        <c:delete val="0"/>
        <c:numFmt formatCode="#,##0" sourceLinked="0"/>
        <c:majorTickMark val="out"/>
        <c:minorTickMark val="none"/>
        <c:tickLblPos val="nextTo"/>
        <c:spPr>
          <a:ln w="3175">
            <a:solidFill>
              <a:srgbClr val="808080"/>
            </a:solidFill>
          </a:ln>
        </c:spPr>
        <c:crossAx val="37869187"/>
        <c:crossesAt val="1"/>
        <c:crossBetween val="between"/>
        <c:dispUnits/>
      </c:valAx>
      <c:spPr>
        <a:solidFill>
          <a:srgbClr val="FFFFFF"/>
        </a:solidFill>
        <a:ln w="12700">
          <a:solidFill>
            <a:srgbClr val="C0C0C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Superfast lines added 2012-2016 by BT Consumer and Virgin Media</a:t>
            </a:r>
          </a:p>
        </c:rich>
      </c:tx>
      <c:layout>
        <c:manualLayout>
          <c:xMode val="factor"/>
          <c:yMode val="factor"/>
          <c:x val="0.06775"/>
          <c:y val="0.00475"/>
        </c:manualLayout>
      </c:layout>
      <c:spPr>
        <a:noFill/>
        <a:ln w="3175">
          <a:noFill/>
        </a:ln>
      </c:spPr>
    </c:title>
    <c:plotArea>
      <c:layout>
        <c:manualLayout>
          <c:xMode val="edge"/>
          <c:yMode val="edge"/>
          <c:x val="0.04175"/>
          <c:y val="0.094"/>
          <c:w val="0.94375"/>
          <c:h val="0.81675"/>
        </c:manualLayout>
      </c:layout>
      <c:barChart>
        <c:barDir val="col"/>
        <c:grouping val="clustered"/>
        <c:varyColors val="0"/>
        <c:ser>
          <c:idx val="1"/>
          <c:order val="0"/>
          <c:tx>
            <c:strRef>
              <c:f>'Superfast growth'!$A$9</c:f>
              <c:strCache>
                <c:ptCount val="1"/>
                <c:pt idx="0">
                  <c:v>Adds for BT Infinity and Virgin Media</c:v>
                </c:pt>
              </c:strCache>
            </c:strRef>
          </c:tx>
          <c:spPr>
            <a:solidFill>
              <a:srgbClr val="E46C0A"/>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'Superfast growth'!$J$7:$W$7</c:f>
              <c:strCache>
                <c:ptCount val="14"/>
                <c:pt idx="0">
                  <c:v>Q1 2013</c:v>
                </c:pt>
                <c:pt idx="1">
                  <c:v>Q2 2013</c:v>
                </c:pt>
                <c:pt idx="2">
                  <c:v>Q3 2013</c:v>
                </c:pt>
                <c:pt idx="3">
                  <c:v>Q4 2013</c:v>
                </c:pt>
                <c:pt idx="4">
                  <c:v>Q1 2014</c:v>
                </c:pt>
                <c:pt idx="5">
                  <c:v>Q2 2014</c:v>
                </c:pt>
                <c:pt idx="6">
                  <c:v>Q3 2014</c:v>
                </c:pt>
                <c:pt idx="7">
                  <c:v>Q4 2014</c:v>
                </c:pt>
                <c:pt idx="8">
                  <c:v>Q1 2015</c:v>
                </c:pt>
                <c:pt idx="9">
                  <c:v>Q2 2015</c:v>
                </c:pt>
                <c:pt idx="10">
                  <c:v>Q3 2015</c:v>
                </c:pt>
                <c:pt idx="11">
                  <c:v>Q4 2015</c:v>
                </c:pt>
                <c:pt idx="12">
                  <c:v>Q1 2016</c:v>
                </c:pt>
                <c:pt idx="13">
                  <c:v>Q2 2016</c:v>
                </c:pt>
              </c:strCache>
            </c:strRef>
          </c:cat>
          <c:val>
            <c:numRef>
              <c:f>'Superfast growth'!$J$9:$W$9</c:f>
              <c:numCache>
                <c:ptCount val="14"/>
                <c:pt idx="0">
                  <c:v>548800</c:v>
                </c:pt>
                <c:pt idx="1">
                  <c:v>446000</c:v>
                </c:pt>
                <c:pt idx="2">
                  <c:v>445400</c:v>
                </c:pt>
                <c:pt idx="3">
                  <c:v>437300</c:v>
                </c:pt>
                <c:pt idx="4">
                  <c:v>438700</c:v>
                </c:pt>
                <c:pt idx="5">
                  <c:v>371400</c:v>
                </c:pt>
                <c:pt idx="6">
                  <c:v>396400</c:v>
                </c:pt>
                <c:pt idx="7">
                  <c:v>405200</c:v>
                </c:pt>
                <c:pt idx="8">
                  <c:v>418000</c:v>
                </c:pt>
                <c:pt idx="9">
                  <c:v>341000</c:v>
                </c:pt>
                <c:pt idx="10">
                  <c:v>290000</c:v>
                </c:pt>
                <c:pt idx="11">
                  <c:v>340000</c:v>
                </c:pt>
                <c:pt idx="12">
                  <c:v>467000</c:v>
                </c:pt>
                <c:pt idx="13">
                  <c:v>231000</c:v>
                </c:pt>
              </c:numCache>
            </c:numRef>
          </c:val>
        </c:ser>
        <c:axId val="47505277"/>
        <c:axId val="24894310"/>
      </c:barChart>
      <c:catAx>
        <c:axId val="47505277"/>
        <c:scaling>
          <c:orientation val="minMax"/>
        </c:scaling>
        <c:axPos val="b"/>
        <c:minorGridlines>
          <c:spPr>
            <a:ln w="3175">
              <a:solidFill>
                <a:srgbClr val="FFFFFF"/>
              </a:solidFill>
            </a:ln>
          </c:spPr>
        </c:minorGridlines>
        <c:delete val="0"/>
        <c:numFmt formatCode="General" sourceLinked="1"/>
        <c:majorTickMark val="out"/>
        <c:minorTickMark val="none"/>
        <c:tickLblPos val="nextTo"/>
        <c:spPr>
          <a:ln w="3175">
            <a:solidFill>
              <a:srgbClr val="808080"/>
            </a:solidFill>
          </a:ln>
        </c:spPr>
        <c:crossAx val="24894310"/>
        <c:crosses val="autoZero"/>
        <c:auto val="1"/>
        <c:lblOffset val="100"/>
        <c:tickLblSkip val="1"/>
        <c:noMultiLvlLbl val="0"/>
      </c:catAx>
      <c:valAx>
        <c:axId val="24894310"/>
        <c:scaling>
          <c:orientation val="minMax"/>
        </c:scaling>
        <c:axPos val="l"/>
        <c:minorGridlines>
          <c:spPr>
            <a:ln w="3175">
              <a:solidFill>
                <a:srgbClr val="FFFFFF"/>
              </a:solidFill>
            </a:ln>
          </c:spPr>
        </c:minorGridlines>
        <c:delete val="0"/>
        <c:numFmt formatCode="#,##0" sourceLinked="0"/>
        <c:majorTickMark val="out"/>
        <c:minorTickMark val="none"/>
        <c:tickLblPos val="nextTo"/>
        <c:spPr>
          <a:ln w="3175">
            <a:solidFill>
              <a:srgbClr val="808080"/>
            </a:solidFill>
          </a:ln>
        </c:spPr>
        <c:crossAx val="47505277"/>
        <c:crossesAt val="1"/>
        <c:crossBetween val="between"/>
        <c:dispUnits/>
      </c:valAx>
      <c:spPr>
        <a:solidFill>
          <a:srgbClr val="FFFFFF"/>
        </a:solidFill>
        <a:ln w="12700">
          <a:solidFill>
            <a:srgbClr val="C0C0C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4">
    <tabColor indexed="26"/>
  </sheetPr>
  <sheetViews>
    <sheetView workbookViewId="0" zoomScale="11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5">
    <tabColor indexed="26"/>
  </sheetPr>
  <sheetViews>
    <sheetView workbookViewId="0" zoomScale="1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6">
    <tabColor indexed="26"/>
  </sheetPr>
  <sheetViews>
    <sheetView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133350</xdr:rowOff>
    </xdr:from>
    <xdr:to>
      <xdr:col>1</xdr:col>
      <xdr:colOff>1143000</xdr:colOff>
      <xdr:row>1</xdr:row>
      <xdr:rowOff>285750</xdr:rowOff>
    </xdr:to>
    <xdr:pic>
      <xdr:nvPicPr>
        <xdr:cNvPr id="1" name="Picture 2" descr="Final PT Logo Small"/>
        <xdr:cNvPicPr preferRelativeResize="1">
          <a:picLocks noChangeAspect="1"/>
        </xdr:cNvPicPr>
      </xdr:nvPicPr>
      <xdr:blipFill>
        <a:blip r:embed="rId1"/>
        <a:stretch>
          <a:fillRect/>
        </a:stretch>
      </xdr:blipFill>
      <xdr:spPr>
        <a:xfrm>
          <a:off x="85725" y="161925"/>
          <a:ext cx="2324100" cy="3143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0.94725</cdr:y>
    </cdr:from>
    <cdr:to>
      <cdr:x>0.11725</cdr:x>
      <cdr:y>0.9705</cdr:y>
    </cdr:to>
    <cdr:sp>
      <cdr:nvSpPr>
        <cdr:cNvPr id="1" name="Text Box 1"/>
        <cdr:cNvSpPr txBox="1">
          <a:spLocks noChangeArrowheads="1"/>
        </cdr:cNvSpPr>
      </cdr:nvSpPr>
      <cdr:spPr>
        <a:xfrm>
          <a:off x="152400" y="5810250"/>
          <a:ext cx="942975" cy="142875"/>
        </a:xfrm>
        <a:prstGeom prst="rect">
          <a:avLst/>
        </a:prstGeom>
        <a:noFill/>
        <a:ln w="9525" cmpd="sng">
          <a:noFill/>
        </a:ln>
      </cdr:spPr>
      <cdr:txBody>
        <a:bodyPr vertOverflow="clip" wrap="square" lIns="18288" tIns="22860" rIns="0" bIns="0">
          <a:spAutoFit/>
        </a:bodyPr>
        <a:p>
          <a:pPr algn="l">
            <a:defRPr/>
          </a:pPr>
          <a:r>
            <a:rPr lang="en-US" cap="none" sz="800" b="0" i="1" u="none" baseline="0">
              <a:solidFill>
                <a:srgbClr val="000000"/>
              </a:solidFill>
            </a:rPr>
            <a:t>Source: Point Topic</a:t>
          </a:r>
        </a:p>
      </cdr:txBody>
    </cdr:sp>
  </cdr:relSizeAnchor>
  <cdr:relSizeAnchor xmlns:cdr="http://schemas.openxmlformats.org/drawingml/2006/chartDrawing">
    <cdr:from>
      <cdr:x>0.032</cdr:x>
      <cdr:y>0.03875</cdr:y>
    </cdr:from>
    <cdr:to>
      <cdr:x>0.15825</cdr:x>
      <cdr:y>0.06825</cdr:y>
    </cdr:to>
    <cdr:pic>
      <cdr:nvPicPr>
        <cdr:cNvPr id="2" name="Picture 7" descr="Point Topic Logo - Toby.png"/>
        <cdr:cNvPicPr preferRelativeResize="1">
          <a:picLocks noChangeAspect="1"/>
        </cdr:cNvPicPr>
      </cdr:nvPicPr>
      <cdr:blipFill>
        <a:blip r:embed="rId1"/>
        <a:stretch>
          <a:fillRect/>
        </a:stretch>
      </cdr:blipFill>
      <cdr:spPr>
        <a:xfrm>
          <a:off x="295275" y="228600"/>
          <a:ext cx="1181100" cy="18097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0.941</cdr:y>
    </cdr:from>
    <cdr:to>
      <cdr:x>0.1015</cdr:x>
      <cdr:y>0.96875</cdr:y>
    </cdr:to>
    <cdr:sp>
      <cdr:nvSpPr>
        <cdr:cNvPr id="1" name="Text Box 1"/>
        <cdr:cNvSpPr txBox="1">
          <a:spLocks noChangeArrowheads="1"/>
        </cdr:cNvSpPr>
      </cdr:nvSpPr>
      <cdr:spPr>
        <a:xfrm>
          <a:off x="28575" y="5772150"/>
          <a:ext cx="923925" cy="171450"/>
        </a:xfrm>
        <a:prstGeom prst="rect">
          <a:avLst/>
        </a:prstGeom>
        <a:noFill/>
        <a:ln w="9525" cmpd="sng">
          <a:noFill/>
        </a:ln>
      </cdr:spPr>
      <cdr:txBody>
        <a:bodyPr vertOverflow="clip" wrap="square" lIns="18288" tIns="22860" rIns="0" bIns="0">
          <a:spAutoFit/>
        </a:bodyPr>
        <a:p>
          <a:pPr algn="l">
            <a:defRPr/>
          </a:pPr>
          <a:r>
            <a:rPr lang="en-US" cap="none" sz="900" b="0" i="1" u="none" baseline="0">
              <a:solidFill>
                <a:srgbClr val="000000"/>
              </a:solidFill>
            </a:rPr>
            <a:t>Source: Point Topic</a:t>
          </a:r>
        </a:p>
      </cdr:txBody>
    </cdr:sp>
  </cdr:relSizeAnchor>
  <cdr:relSizeAnchor xmlns:cdr="http://schemas.openxmlformats.org/drawingml/2006/chartDrawing">
    <cdr:from>
      <cdr:x>0.016</cdr:x>
      <cdr:y>0.0355</cdr:y>
    </cdr:from>
    <cdr:to>
      <cdr:x>0.14475</cdr:x>
      <cdr:y>0.06425</cdr:y>
    </cdr:to>
    <cdr:pic>
      <cdr:nvPicPr>
        <cdr:cNvPr id="2" name="Picture 1" descr="Final PT Logo Small"/>
        <cdr:cNvPicPr preferRelativeResize="1">
          <a:picLocks noChangeAspect="1"/>
        </cdr:cNvPicPr>
      </cdr:nvPicPr>
      <cdr:blipFill>
        <a:blip r:embed="rId1"/>
        <a:stretch>
          <a:fillRect/>
        </a:stretch>
      </cdr:blipFill>
      <cdr:spPr>
        <a:xfrm>
          <a:off x="142875" y="209550"/>
          <a:ext cx="1209675" cy="1809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0.93575</cdr:y>
    </cdr:from>
    <cdr:to>
      <cdr:x>0.16225</cdr:x>
      <cdr:y>0.96775</cdr:y>
    </cdr:to>
    <cdr:sp>
      <cdr:nvSpPr>
        <cdr:cNvPr id="1" name="Text Box 1"/>
        <cdr:cNvSpPr txBox="1">
          <a:spLocks noChangeArrowheads="1"/>
        </cdr:cNvSpPr>
      </cdr:nvSpPr>
      <cdr:spPr>
        <a:xfrm>
          <a:off x="104775" y="5743575"/>
          <a:ext cx="1419225" cy="200025"/>
        </a:xfrm>
        <a:prstGeom prst="rect">
          <a:avLst/>
        </a:prstGeom>
        <a:noFill/>
        <a:ln w="9525" cmpd="sng">
          <a:noFill/>
        </a:ln>
      </cdr:spPr>
      <cdr:txBody>
        <a:bodyPr vertOverflow="clip" wrap="square" lIns="27432" tIns="22860" rIns="0" bIns="0"/>
        <a:p>
          <a:pPr algn="l">
            <a:defRPr/>
          </a:pPr>
          <a:r>
            <a:rPr lang="en-US" cap="none" sz="900" b="0" i="1" u="none" baseline="0">
              <a:solidFill>
                <a:srgbClr val="000000"/>
              </a:solidFill>
            </a:rPr>
            <a:t>Source: Point Topic</a:t>
          </a:r>
        </a:p>
      </cdr:txBody>
    </cdr:sp>
  </cdr:relSizeAnchor>
  <cdr:relSizeAnchor xmlns:cdr="http://schemas.openxmlformats.org/drawingml/2006/chartDrawing">
    <cdr:from>
      <cdr:x>0.03725</cdr:x>
      <cdr:y>0.03</cdr:y>
    </cdr:from>
    <cdr:to>
      <cdr:x>0.16675</cdr:x>
      <cdr:y>0.06</cdr:y>
    </cdr:to>
    <cdr:pic>
      <cdr:nvPicPr>
        <cdr:cNvPr id="2" name="Picture 5" descr="Point Topic Logo - Toby.png"/>
        <cdr:cNvPicPr preferRelativeResize="1">
          <a:picLocks noChangeAspect="1"/>
        </cdr:cNvPicPr>
      </cdr:nvPicPr>
      <cdr:blipFill>
        <a:blip r:embed="rId1"/>
        <a:stretch>
          <a:fillRect/>
        </a:stretch>
      </cdr:blipFill>
      <cdr:spPr>
        <a:xfrm>
          <a:off x="342900" y="180975"/>
          <a:ext cx="1219200" cy="180975"/>
        </a:xfrm>
        <a:prstGeom prst="rect">
          <a:avLst/>
        </a:prstGeom>
        <a:noFill/>
        <a:ln w="9525" cmpd="sng">
          <a:noFill/>
        </a:ln>
      </cdr:spPr>
    </cdr:pic>
  </cdr:relSizeAnchor>
  <cdr:relSizeAnchor xmlns:cdr="http://schemas.openxmlformats.org/drawingml/2006/chartDrawing">
    <cdr:from>
      <cdr:x>0.0075</cdr:x>
      <cdr:y>0.4425</cdr:y>
    </cdr:from>
    <cdr:to>
      <cdr:x>0.043</cdr:x>
      <cdr:y>0.5725</cdr:y>
    </cdr:to>
    <cdr:sp>
      <cdr:nvSpPr>
        <cdr:cNvPr id="3" name="TextBox 3"/>
        <cdr:cNvSpPr txBox="1">
          <a:spLocks noChangeArrowheads="1"/>
        </cdr:cNvSpPr>
      </cdr:nvSpPr>
      <cdr:spPr>
        <a:xfrm>
          <a:off x="66675" y="2714625"/>
          <a:ext cx="333375" cy="800100"/>
        </a:xfrm>
        <a:prstGeom prst="rect">
          <a:avLst/>
        </a:prstGeom>
        <a:noFill/>
        <a:ln w="9525" cmpd="sng">
          <a:noFill/>
        </a:ln>
      </cdr:spPr>
      <cdr:txBody>
        <a:bodyPr vertOverflow="clip" wrap="square" anchor="b" vert="vert270"/>
        <a:p>
          <a:pPr algn="l">
            <a:defRPr/>
          </a:pPr>
          <a:r>
            <a:rPr lang="en-US" cap="none" sz="900" b="1" i="0" u="none" baseline="0">
              <a:solidFill>
                <a:srgbClr val="000000"/>
              </a:solidFill>
            </a:rPr>
            <a:t>Net additions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liver.johnson@point-topic.com" TargetMode="External" /><Relationship Id="rId2" Type="http://schemas.openxmlformats.org/officeDocument/2006/relationships/hyperlink" Target="mailto:annelise.berendt@point-topic.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sheetPr>
  <dimension ref="A2:C45"/>
  <sheetViews>
    <sheetView showRowColHeaders="0" tabSelected="1" zoomScale="80" zoomScaleNormal="80" zoomScalePageLayoutView="0" workbookViewId="0" topLeftCell="A1">
      <selection activeCell="C47" sqref="C47"/>
    </sheetView>
  </sheetViews>
  <sheetFormatPr defaultColWidth="9.140625" defaultRowHeight="12.75"/>
  <cols>
    <col min="1" max="1" width="19.00390625" style="1" customWidth="1"/>
    <col min="2" max="2" width="27.28125" style="10" customWidth="1"/>
    <col min="3" max="3" width="101.57421875" style="10" customWidth="1"/>
    <col min="4" max="16384" width="9.140625" style="1" customWidth="1"/>
  </cols>
  <sheetData>
    <row r="2" spans="2:3" ht="31.5">
      <c r="B2" s="2"/>
      <c r="C2" s="3" t="s">
        <v>157</v>
      </c>
    </row>
    <row r="3" spans="2:3" ht="15">
      <c r="B3" s="2"/>
      <c r="C3" s="4"/>
    </row>
    <row r="4" spans="1:3" ht="30">
      <c r="A4" s="5"/>
      <c r="B4" s="94" t="s">
        <v>33</v>
      </c>
      <c r="C4" s="6" t="s">
        <v>158</v>
      </c>
    </row>
    <row r="5" spans="1:3" ht="30">
      <c r="A5" s="5"/>
      <c r="B5" s="94"/>
      <c r="C5" s="6" t="s">
        <v>149</v>
      </c>
    </row>
    <row r="6" spans="2:3" ht="15">
      <c r="B6" s="95"/>
      <c r="C6" s="4"/>
    </row>
    <row r="7" spans="2:3" ht="15">
      <c r="B7" s="95"/>
      <c r="C7" s="113" t="s">
        <v>159</v>
      </c>
    </row>
    <row r="8" spans="2:3" ht="15">
      <c r="B8" s="95"/>
      <c r="C8" s="4"/>
    </row>
    <row r="9" spans="2:3" ht="15">
      <c r="B9" s="95" t="s">
        <v>30</v>
      </c>
      <c r="C9" s="4" t="s">
        <v>146</v>
      </c>
    </row>
    <row r="10" spans="2:3" ht="15">
      <c r="B10" s="95"/>
      <c r="C10" s="4" t="s">
        <v>31</v>
      </c>
    </row>
    <row r="11" spans="2:3" ht="15">
      <c r="B11" s="95"/>
      <c r="C11" s="4" t="s">
        <v>32</v>
      </c>
    </row>
    <row r="12" spans="2:3" ht="15">
      <c r="B12" s="95"/>
      <c r="C12" s="4"/>
    </row>
    <row r="13" spans="2:3" ht="15">
      <c r="B13" s="95" t="s">
        <v>67</v>
      </c>
      <c r="C13" s="4" t="s">
        <v>68</v>
      </c>
    </row>
    <row r="14" spans="2:3" ht="15">
      <c r="B14" s="95"/>
      <c r="C14" s="99" t="s">
        <v>160</v>
      </c>
    </row>
    <row r="15" spans="2:3" ht="15">
      <c r="B15" s="95"/>
      <c r="C15" s="4" t="s">
        <v>69</v>
      </c>
    </row>
    <row r="16" spans="2:3" ht="15">
      <c r="B16" s="95"/>
      <c r="C16" s="143" t="s">
        <v>174</v>
      </c>
    </row>
    <row r="17" spans="2:3" ht="15">
      <c r="B17" s="95"/>
      <c r="C17" s="7"/>
    </row>
    <row r="18" spans="2:3" ht="15">
      <c r="B18" s="95" t="s">
        <v>34</v>
      </c>
      <c r="C18" s="4" t="s">
        <v>35</v>
      </c>
    </row>
    <row r="19" spans="2:3" ht="15">
      <c r="B19" s="95"/>
      <c r="C19" s="4"/>
    </row>
    <row r="20" spans="2:3" ht="15">
      <c r="B20" s="95"/>
      <c r="C20" s="4" t="s">
        <v>100</v>
      </c>
    </row>
    <row r="21" spans="2:3" ht="15">
      <c r="B21" s="95"/>
      <c r="C21" s="4" t="s">
        <v>36</v>
      </c>
    </row>
    <row r="22" spans="2:3" ht="15">
      <c r="B22" s="95"/>
      <c r="C22" s="4" t="s">
        <v>86</v>
      </c>
    </row>
    <row r="23" spans="2:3" ht="15">
      <c r="B23" s="95"/>
      <c r="C23" s="4" t="s">
        <v>87</v>
      </c>
    </row>
    <row r="24" spans="2:3" ht="15">
      <c r="B24" s="95"/>
      <c r="C24" s="8" t="s">
        <v>39</v>
      </c>
    </row>
    <row r="25" spans="2:3" ht="15">
      <c r="B25" s="95"/>
      <c r="C25" s="7" t="s">
        <v>101</v>
      </c>
    </row>
    <row r="26" spans="2:3" ht="15">
      <c r="B26" s="95"/>
      <c r="C26" s="7" t="s">
        <v>73</v>
      </c>
    </row>
    <row r="27" spans="2:3" s="9" customFormat="1" ht="15">
      <c r="B27" s="95"/>
      <c r="C27" s="7"/>
    </row>
    <row r="28" spans="2:3" ht="15">
      <c r="B28" s="95"/>
      <c r="C28" s="2" t="s">
        <v>38</v>
      </c>
    </row>
    <row r="29" spans="2:3" ht="15">
      <c r="B29" s="95"/>
      <c r="C29" s="13"/>
    </row>
    <row r="30" spans="2:3" ht="15">
      <c r="B30" s="96"/>
      <c r="C30" s="2" t="s">
        <v>37</v>
      </c>
    </row>
    <row r="31" spans="2:3" ht="15">
      <c r="B31" s="95"/>
      <c r="C31" s="12"/>
    </row>
    <row r="32" spans="2:3" ht="30">
      <c r="B32" s="95" t="s">
        <v>2</v>
      </c>
      <c r="C32" s="12" t="s">
        <v>88</v>
      </c>
    </row>
    <row r="33" spans="2:3" ht="15">
      <c r="B33" s="95"/>
      <c r="C33" s="12"/>
    </row>
    <row r="34" spans="2:3" ht="30">
      <c r="B34" s="95" t="s">
        <v>122</v>
      </c>
      <c r="C34" s="114" t="s">
        <v>133</v>
      </c>
    </row>
    <row r="35" spans="2:3" ht="15">
      <c r="B35" s="95"/>
      <c r="C35" s="12"/>
    </row>
    <row r="36" spans="2:3" ht="15">
      <c r="B36" s="97" t="s">
        <v>64</v>
      </c>
      <c r="C36" s="13" t="s">
        <v>83</v>
      </c>
    </row>
    <row r="37" spans="2:3" ht="15">
      <c r="B37" s="98"/>
      <c r="C37" s="14"/>
    </row>
    <row r="38" spans="2:3" ht="15">
      <c r="B38" s="97" t="s">
        <v>171</v>
      </c>
      <c r="C38" s="13" t="s">
        <v>172</v>
      </c>
    </row>
    <row r="39" spans="2:3" ht="15">
      <c r="B39" s="98"/>
      <c r="C39" s="100"/>
    </row>
    <row r="40" spans="2:3" ht="45">
      <c r="B40" s="97" t="s">
        <v>152</v>
      </c>
      <c r="C40" s="114" t="s">
        <v>123</v>
      </c>
    </row>
    <row r="41" spans="2:3" ht="15">
      <c r="B41" s="97"/>
      <c r="C41" s="13"/>
    </row>
    <row r="42" spans="2:3" ht="30">
      <c r="B42" s="97"/>
      <c r="C42" s="114" t="s">
        <v>156</v>
      </c>
    </row>
    <row r="43" spans="2:3" ht="15">
      <c r="B43" s="98"/>
      <c r="C43" s="13"/>
    </row>
    <row r="44" spans="2:3" ht="109.5" customHeight="1">
      <c r="B44" s="97" t="s">
        <v>47</v>
      </c>
      <c r="C44" s="13" t="s">
        <v>106</v>
      </c>
    </row>
    <row r="45" spans="2:3" ht="15">
      <c r="B45" s="97" t="s">
        <v>167</v>
      </c>
      <c r="C45" s="53" t="s">
        <v>175</v>
      </c>
    </row>
  </sheetData>
  <sheetProtection/>
  <hyperlinks>
    <hyperlink ref="C25" r:id="rId1" display="oliver.johnson@point-topic.com"/>
    <hyperlink ref="C26" r:id="rId2" display="annelise.berendt@point-topic.com"/>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A73"/>
  <sheetViews>
    <sheetView showGridLines="0" zoomScale="75" zoomScaleNormal="75" zoomScaleSheetLayoutView="50" zoomScalePageLayoutView="0" workbookViewId="0" topLeftCell="A1">
      <pane xSplit="1" ySplit="7" topLeftCell="AJ8" activePane="bottomRight" state="frozen"/>
      <selection pane="topLeft" activeCell="A1" sqref="A1"/>
      <selection pane="topRight" activeCell="B1" sqref="B1"/>
      <selection pane="bottomLeft" activeCell="A8" sqref="A8"/>
      <selection pane="bottomRight" activeCell="D76" sqref="D76"/>
    </sheetView>
  </sheetViews>
  <sheetFormatPr defaultColWidth="9.140625" defaultRowHeight="12.75"/>
  <cols>
    <col min="1" max="1" width="84.421875" style="16" customWidth="1"/>
    <col min="2" max="4" width="13.140625" style="16" customWidth="1"/>
    <col min="5" max="5" width="13.140625" style="17" customWidth="1"/>
    <col min="6" max="6" width="11.57421875" style="17" bestFit="1" customWidth="1"/>
    <col min="7" max="7" width="13.28125" style="16" bestFit="1" customWidth="1"/>
    <col min="8" max="8" width="11.57421875" style="16" bestFit="1" customWidth="1"/>
    <col min="9" max="9" width="13.00390625" style="16" customWidth="1"/>
    <col min="10" max="10" width="13.28125" style="16" customWidth="1"/>
    <col min="11" max="11" width="12.7109375" style="16" customWidth="1"/>
    <col min="12" max="24" width="11.57421875" style="16" bestFit="1" customWidth="1"/>
    <col min="25" max="30" width="11.57421875" style="16" customWidth="1"/>
    <col min="31" max="40" width="14.28125" style="16" customWidth="1"/>
    <col min="41" max="41" width="24.140625" style="16" customWidth="1"/>
    <col min="42" max="42" width="22.7109375" style="16" customWidth="1"/>
    <col min="43" max="43" width="10.421875" style="16" customWidth="1"/>
    <col min="44" max="16384" width="9.140625" style="16" customWidth="1"/>
  </cols>
  <sheetData>
    <row r="1" spans="1:5" ht="15">
      <c r="A1" s="15"/>
      <c r="E1" s="16"/>
    </row>
    <row r="2" spans="1:41" s="22" customFormat="1" ht="31.5" customHeight="1">
      <c r="A2" s="18" t="s">
        <v>161</v>
      </c>
      <c r="B2" s="19"/>
      <c r="C2" s="19"/>
      <c r="D2" s="20"/>
      <c r="E2" s="21"/>
      <c r="F2" s="21"/>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2:11" ht="15">
      <c r="B3" s="23"/>
      <c r="D3" s="24"/>
      <c r="E3" s="24"/>
      <c r="F3" s="24"/>
      <c r="G3" s="24"/>
      <c r="H3" s="24"/>
      <c r="I3" s="24"/>
      <c r="J3" s="24"/>
      <c r="K3" s="24"/>
    </row>
    <row r="4" spans="1:11" ht="15">
      <c r="A4" s="16" t="s">
        <v>0</v>
      </c>
      <c r="B4" s="23">
        <v>42551</v>
      </c>
      <c r="D4" s="24"/>
      <c r="E4" s="24"/>
      <c r="F4" s="24"/>
      <c r="G4" s="24"/>
      <c r="H4" s="24"/>
      <c r="I4" s="24"/>
      <c r="J4" s="24"/>
      <c r="K4" s="24"/>
    </row>
    <row r="5" spans="1:11" ht="15">
      <c r="A5" s="16" t="s">
        <v>1</v>
      </c>
      <c r="B5" s="115">
        <v>42593</v>
      </c>
      <c r="D5" s="24"/>
      <c r="E5" s="24"/>
      <c r="F5" s="24"/>
      <c r="G5" s="24"/>
      <c r="H5" s="24"/>
      <c r="I5" s="24"/>
      <c r="J5" s="24"/>
      <c r="K5" s="24"/>
    </row>
    <row r="6" spans="3:35" s="25" customFormat="1" ht="15">
      <c r="C6" s="25">
        <v>2007</v>
      </c>
      <c r="E6" s="26"/>
      <c r="F6" s="26"/>
      <c r="G6" s="25">
        <v>2008</v>
      </c>
      <c r="K6" s="25">
        <v>2009</v>
      </c>
      <c r="O6" s="25">
        <v>2010</v>
      </c>
      <c r="S6" s="25">
        <v>2011</v>
      </c>
      <c r="W6" s="25">
        <v>2012</v>
      </c>
      <c r="AA6" s="25">
        <v>2013</v>
      </c>
      <c r="AE6" s="25">
        <v>2014</v>
      </c>
      <c r="AI6" s="25">
        <v>2015</v>
      </c>
    </row>
    <row r="7" spans="1:41" ht="33.75" customHeight="1">
      <c r="A7" s="27" t="s">
        <v>89</v>
      </c>
      <c r="B7" s="28" t="s">
        <v>3</v>
      </c>
      <c r="C7" s="28" t="s">
        <v>4</v>
      </c>
      <c r="D7" s="28" t="s">
        <v>5</v>
      </c>
      <c r="E7" s="28" t="s">
        <v>6</v>
      </c>
      <c r="F7" s="28" t="s">
        <v>7</v>
      </c>
      <c r="G7" s="28" t="s">
        <v>8</v>
      </c>
      <c r="H7" s="28" t="s">
        <v>9</v>
      </c>
      <c r="I7" s="28" t="s">
        <v>10</v>
      </c>
      <c r="J7" s="28" t="s">
        <v>43</v>
      </c>
      <c r="K7" s="28" t="s">
        <v>45</v>
      </c>
      <c r="L7" s="28" t="s">
        <v>46</v>
      </c>
      <c r="M7" s="28" t="s">
        <v>50</v>
      </c>
      <c r="N7" s="28" t="s">
        <v>53</v>
      </c>
      <c r="O7" s="28" t="s">
        <v>58</v>
      </c>
      <c r="P7" s="28" t="s">
        <v>59</v>
      </c>
      <c r="Q7" s="28" t="s">
        <v>60</v>
      </c>
      <c r="R7" s="28" t="s">
        <v>61</v>
      </c>
      <c r="S7" s="28" t="s">
        <v>62</v>
      </c>
      <c r="T7" s="28" t="s">
        <v>63</v>
      </c>
      <c r="U7" s="28" t="s">
        <v>65</v>
      </c>
      <c r="V7" s="28" t="s">
        <v>70</v>
      </c>
      <c r="W7" s="28" t="s">
        <v>74</v>
      </c>
      <c r="X7" s="28" t="s">
        <v>79</v>
      </c>
      <c r="Y7" s="28" t="s">
        <v>82</v>
      </c>
      <c r="Z7" s="28" t="s">
        <v>102</v>
      </c>
      <c r="AA7" s="28" t="s">
        <v>104</v>
      </c>
      <c r="AB7" s="28" t="s">
        <v>108</v>
      </c>
      <c r="AC7" s="28" t="s">
        <v>111</v>
      </c>
      <c r="AD7" s="28" t="s">
        <v>112</v>
      </c>
      <c r="AE7" s="28" t="s">
        <v>113</v>
      </c>
      <c r="AF7" s="28" t="s">
        <v>119</v>
      </c>
      <c r="AG7" s="28" t="s">
        <v>129</v>
      </c>
      <c r="AH7" s="28" t="s">
        <v>135</v>
      </c>
      <c r="AI7" s="28" t="s">
        <v>136</v>
      </c>
      <c r="AJ7" s="28" t="s">
        <v>142</v>
      </c>
      <c r="AK7" s="28" t="s">
        <v>143</v>
      </c>
      <c r="AL7" s="28" t="s">
        <v>147</v>
      </c>
      <c r="AM7" s="28" t="s">
        <v>150</v>
      </c>
      <c r="AN7" s="28" t="s">
        <v>162</v>
      </c>
      <c r="AO7" s="28" t="s">
        <v>163</v>
      </c>
    </row>
    <row r="8" spans="1:41" ht="15">
      <c r="A8" s="29" t="s">
        <v>17</v>
      </c>
      <c r="B8" s="30">
        <v>13116600</v>
      </c>
      <c r="C8" s="30">
        <v>14003400</v>
      </c>
      <c r="D8" s="30">
        <f aca="true" t="shared" si="0" ref="D8:K8">D29</f>
        <v>14512900</v>
      </c>
      <c r="E8" s="30">
        <f t="shared" si="0"/>
        <v>15108100</v>
      </c>
      <c r="F8" s="30">
        <f t="shared" si="0"/>
        <v>15728900</v>
      </c>
      <c r="G8" s="30">
        <f t="shared" si="0"/>
        <v>16319300</v>
      </c>
      <c r="H8" s="30">
        <f t="shared" si="0"/>
        <v>16718400</v>
      </c>
      <c r="I8" s="30">
        <f t="shared" si="0"/>
        <v>17039700</v>
      </c>
      <c r="J8" s="30">
        <f t="shared" si="0"/>
        <v>17392800</v>
      </c>
      <c r="K8" s="30">
        <f t="shared" si="0"/>
        <v>17661100</v>
      </c>
      <c r="L8" s="30">
        <f aca="true" t="shared" si="1" ref="L8:W8">SUM(L25:L28)</f>
        <v>17838200</v>
      </c>
      <c r="M8" s="30">
        <f t="shared" si="1"/>
        <v>18047200</v>
      </c>
      <c r="N8" s="30">
        <f t="shared" si="1"/>
        <v>18356000</v>
      </c>
      <c r="O8" s="30">
        <f t="shared" si="1"/>
        <v>18710100</v>
      </c>
      <c r="P8" s="30">
        <f t="shared" si="1"/>
        <v>18980000</v>
      </c>
      <c r="Q8" s="30">
        <f t="shared" si="1"/>
        <v>19210000</v>
      </c>
      <c r="R8" s="30">
        <f t="shared" si="1"/>
        <v>19608600</v>
      </c>
      <c r="S8" s="30">
        <f t="shared" si="1"/>
        <v>19910100</v>
      </c>
      <c r="T8" s="30">
        <f t="shared" si="1"/>
        <v>20149200</v>
      </c>
      <c r="U8" s="30">
        <f t="shared" si="1"/>
        <v>20437200</v>
      </c>
      <c r="V8" s="30">
        <f t="shared" si="1"/>
        <v>20731500</v>
      </c>
      <c r="W8" s="30">
        <f t="shared" si="1"/>
        <v>21083600</v>
      </c>
      <c r="X8" s="30">
        <f aca="true" t="shared" si="2" ref="X8:AD8">SUM(X25:X28)</f>
        <v>21246300</v>
      </c>
      <c r="Y8" s="30">
        <f t="shared" si="2"/>
        <v>21453900</v>
      </c>
      <c r="Z8" s="30">
        <f t="shared" si="2"/>
        <v>21763700</v>
      </c>
      <c r="AA8" s="30">
        <f t="shared" si="2"/>
        <v>22092200</v>
      </c>
      <c r="AB8" s="30">
        <f t="shared" si="2"/>
        <v>22280600</v>
      </c>
      <c r="AC8" s="30">
        <f t="shared" si="2"/>
        <v>22481400</v>
      </c>
      <c r="AD8" s="30">
        <f t="shared" si="2"/>
        <v>22782100</v>
      </c>
      <c r="AE8" s="30">
        <f aca="true" t="shared" si="3" ref="AE8:AL8">SUM(AE25:AE28)</f>
        <v>23035500</v>
      </c>
      <c r="AF8" s="30">
        <f t="shared" si="3"/>
        <v>23200800</v>
      </c>
      <c r="AG8" s="30">
        <f t="shared" si="3"/>
        <v>23434500</v>
      </c>
      <c r="AH8" s="30">
        <f t="shared" si="3"/>
        <v>23773900</v>
      </c>
      <c r="AI8" s="30">
        <f t="shared" si="3"/>
        <v>24054600</v>
      </c>
      <c r="AJ8" s="30">
        <f>SUM(AJ25:AJ28)</f>
        <v>24220300</v>
      </c>
      <c r="AK8" s="30">
        <f t="shared" si="3"/>
        <v>24440900</v>
      </c>
      <c r="AL8" s="30">
        <f t="shared" si="3"/>
        <v>24696100</v>
      </c>
      <c r="AM8" s="30">
        <f>SUM(AM25:AM28)</f>
        <v>24899600</v>
      </c>
      <c r="AN8" s="30">
        <f>SUM(AN25:AN28)</f>
        <v>25091400</v>
      </c>
      <c r="AO8" s="76"/>
    </row>
    <row r="9" spans="1:42" ht="15">
      <c r="A9" s="32" t="s">
        <v>15</v>
      </c>
      <c r="B9" s="33">
        <v>1300000</v>
      </c>
      <c r="C9" s="33">
        <v>1371000</v>
      </c>
      <c r="D9" s="33">
        <v>1540000</v>
      </c>
      <c r="E9" s="33">
        <v>1590000</v>
      </c>
      <c r="F9" s="33">
        <v>1620000</v>
      </c>
      <c r="G9" s="33">
        <v>1650000</v>
      </c>
      <c r="H9" s="34">
        <v>1685000</v>
      </c>
      <c r="I9" s="34">
        <v>1685000</v>
      </c>
      <c r="J9" s="34">
        <v>1760000</v>
      </c>
      <c r="K9" s="34">
        <v>1790000</v>
      </c>
      <c r="L9" s="34">
        <v>1820000</v>
      </c>
      <c r="M9" s="34">
        <v>1850000</v>
      </c>
      <c r="N9" s="34">
        <v>1880000</v>
      </c>
      <c r="O9" s="34">
        <v>1880000</v>
      </c>
      <c r="P9" s="34">
        <v>1880000</v>
      </c>
      <c r="Q9" s="34">
        <v>1880000</v>
      </c>
      <c r="R9" s="34">
        <v>1880000</v>
      </c>
      <c r="S9" s="34">
        <v>1880000</v>
      </c>
      <c r="T9" s="34">
        <v>1880000</v>
      </c>
      <c r="U9" s="34">
        <v>1880300</v>
      </c>
      <c r="V9" s="34">
        <v>1880300</v>
      </c>
      <c r="W9" s="34">
        <v>1880400</v>
      </c>
      <c r="X9" s="34">
        <v>1880400</v>
      </c>
      <c r="Y9" s="112">
        <v>1880400</v>
      </c>
      <c r="Z9" s="112">
        <v>1880400</v>
      </c>
      <c r="AA9" s="112">
        <v>1880750</v>
      </c>
      <c r="AB9" s="112">
        <v>1880780</v>
      </c>
      <c r="AC9" s="112">
        <v>1883980</v>
      </c>
      <c r="AD9" s="112">
        <v>1885600</v>
      </c>
      <c r="AE9" s="112">
        <v>1885600</v>
      </c>
      <c r="AF9" s="112">
        <v>1886650</v>
      </c>
      <c r="AG9" s="112">
        <v>1887850</v>
      </c>
      <c r="AH9" s="112">
        <v>1889800</v>
      </c>
      <c r="AI9" s="112">
        <v>1890500</v>
      </c>
      <c r="AJ9" s="112">
        <v>1892240</v>
      </c>
      <c r="AK9" s="112">
        <v>1894300</v>
      </c>
      <c r="AL9" s="112">
        <v>1895800</v>
      </c>
      <c r="AM9" s="112">
        <v>2072000</v>
      </c>
      <c r="AN9" s="112">
        <v>2072800</v>
      </c>
      <c r="AO9" s="89" t="s">
        <v>49</v>
      </c>
      <c r="AP9" s="84"/>
    </row>
    <row r="10" spans="1:42" ht="15">
      <c r="A10" s="32" t="s">
        <v>16</v>
      </c>
      <c r="B10" s="33">
        <v>11816600</v>
      </c>
      <c r="C10" s="33">
        <f>14003400-1371000</f>
        <v>12632400</v>
      </c>
      <c r="D10" s="33">
        <f aca="true" t="shared" si="4" ref="D10:X10">D29-D9</f>
        <v>12972900</v>
      </c>
      <c r="E10" s="33">
        <f t="shared" si="4"/>
        <v>13518100</v>
      </c>
      <c r="F10" s="33">
        <f t="shared" si="4"/>
        <v>14108900</v>
      </c>
      <c r="G10" s="33">
        <f t="shared" si="4"/>
        <v>14669300</v>
      </c>
      <c r="H10" s="33">
        <f t="shared" si="4"/>
        <v>15033400</v>
      </c>
      <c r="I10" s="33">
        <f t="shared" si="4"/>
        <v>15354700</v>
      </c>
      <c r="J10" s="33">
        <f t="shared" si="4"/>
        <v>15632800</v>
      </c>
      <c r="K10" s="33">
        <f t="shared" si="4"/>
        <v>15871100</v>
      </c>
      <c r="L10" s="33">
        <f t="shared" si="4"/>
        <v>16018200</v>
      </c>
      <c r="M10" s="33">
        <f t="shared" si="4"/>
        <v>16197200</v>
      </c>
      <c r="N10" s="33">
        <f t="shared" si="4"/>
        <v>16476000</v>
      </c>
      <c r="O10" s="33">
        <f t="shared" si="4"/>
        <v>16830100</v>
      </c>
      <c r="P10" s="33">
        <f t="shared" si="4"/>
        <v>17100000</v>
      </c>
      <c r="Q10" s="33">
        <f t="shared" si="4"/>
        <v>17330000</v>
      </c>
      <c r="R10" s="33">
        <f t="shared" si="4"/>
        <v>17728600</v>
      </c>
      <c r="S10" s="33">
        <f t="shared" si="4"/>
        <v>18030100</v>
      </c>
      <c r="T10" s="33">
        <f t="shared" si="4"/>
        <v>18269200</v>
      </c>
      <c r="U10" s="33">
        <f t="shared" si="4"/>
        <v>18556900</v>
      </c>
      <c r="V10" s="33">
        <f t="shared" si="4"/>
        <v>18851200</v>
      </c>
      <c r="W10" s="33">
        <f t="shared" si="4"/>
        <v>19203200</v>
      </c>
      <c r="X10" s="33">
        <f t="shared" si="4"/>
        <v>19365900</v>
      </c>
      <c r="Y10" s="33">
        <f aca="true" t="shared" si="5" ref="Y10:AD10">Y29-Y9</f>
        <v>19573500</v>
      </c>
      <c r="Z10" s="33">
        <f t="shared" si="5"/>
        <v>19883300</v>
      </c>
      <c r="AA10" s="33">
        <f t="shared" si="5"/>
        <v>20211450</v>
      </c>
      <c r="AB10" s="33">
        <f t="shared" si="5"/>
        <v>20399820</v>
      </c>
      <c r="AC10" s="33">
        <f t="shared" si="5"/>
        <v>20597420</v>
      </c>
      <c r="AD10" s="33">
        <f t="shared" si="5"/>
        <v>20896500</v>
      </c>
      <c r="AE10" s="33">
        <f aca="true" t="shared" si="6" ref="AE10:AL10">AE29-AE9</f>
        <v>21149900</v>
      </c>
      <c r="AF10" s="33">
        <f t="shared" si="6"/>
        <v>21314150</v>
      </c>
      <c r="AG10" s="74">
        <f t="shared" si="6"/>
        <v>21546650</v>
      </c>
      <c r="AH10" s="74">
        <f t="shared" si="6"/>
        <v>21884100</v>
      </c>
      <c r="AI10" s="74">
        <f t="shared" si="6"/>
        <v>22164100</v>
      </c>
      <c r="AJ10" s="74">
        <f t="shared" si="6"/>
        <v>22328060</v>
      </c>
      <c r="AK10" s="74">
        <f t="shared" si="6"/>
        <v>22546600</v>
      </c>
      <c r="AL10" s="74">
        <f t="shared" si="6"/>
        <v>22800300</v>
      </c>
      <c r="AM10" s="74">
        <f>AM29-AM9</f>
        <v>22827600</v>
      </c>
      <c r="AN10" s="74">
        <f>AN29-AN9</f>
        <v>23018600</v>
      </c>
      <c r="AO10" s="89"/>
      <c r="AP10" s="84"/>
    </row>
    <row r="11" spans="1:42" ht="15">
      <c r="A11" s="29" t="s">
        <v>20</v>
      </c>
      <c r="B11" s="30">
        <v>834700</v>
      </c>
      <c r="C11" s="30">
        <f>C29-B29</f>
        <v>886800</v>
      </c>
      <c r="D11" s="30">
        <f aca="true" t="shared" si="7" ref="D11:AB11">D29-C29</f>
        <v>509500</v>
      </c>
      <c r="E11" s="30">
        <f t="shared" si="7"/>
        <v>595200</v>
      </c>
      <c r="F11" s="30">
        <f t="shared" si="7"/>
        <v>620800</v>
      </c>
      <c r="G11" s="30">
        <f t="shared" si="7"/>
        <v>590400</v>
      </c>
      <c r="H11" s="30">
        <f t="shared" si="7"/>
        <v>399100</v>
      </c>
      <c r="I11" s="30">
        <f t="shared" si="7"/>
        <v>321300</v>
      </c>
      <c r="J11" s="30">
        <f t="shared" si="7"/>
        <v>353100</v>
      </c>
      <c r="K11" s="30">
        <f t="shared" si="7"/>
        <v>268300</v>
      </c>
      <c r="L11" s="30">
        <f t="shared" si="7"/>
        <v>177100</v>
      </c>
      <c r="M11" s="30">
        <f t="shared" si="7"/>
        <v>209000</v>
      </c>
      <c r="N11" s="30">
        <f t="shared" si="7"/>
        <v>308800</v>
      </c>
      <c r="O11" s="30">
        <f t="shared" si="7"/>
        <v>354100</v>
      </c>
      <c r="P11" s="30">
        <f t="shared" si="7"/>
        <v>269900</v>
      </c>
      <c r="Q11" s="30">
        <f t="shared" si="7"/>
        <v>230000</v>
      </c>
      <c r="R11" s="30">
        <f t="shared" si="7"/>
        <v>398600</v>
      </c>
      <c r="S11" s="30">
        <f t="shared" si="7"/>
        <v>301500</v>
      </c>
      <c r="T11" s="30">
        <f t="shared" si="7"/>
        <v>239100</v>
      </c>
      <c r="U11" s="30">
        <f t="shared" si="7"/>
        <v>288000</v>
      </c>
      <c r="V11" s="30">
        <f t="shared" si="7"/>
        <v>294300</v>
      </c>
      <c r="W11" s="30">
        <f t="shared" si="7"/>
        <v>352100</v>
      </c>
      <c r="X11" s="30">
        <f>X29-W29</f>
        <v>162700</v>
      </c>
      <c r="Y11" s="30">
        <f t="shared" si="7"/>
        <v>207600</v>
      </c>
      <c r="Z11" s="30">
        <f t="shared" si="7"/>
        <v>309800</v>
      </c>
      <c r="AA11" s="30">
        <f t="shared" si="7"/>
        <v>328500</v>
      </c>
      <c r="AB11" s="30">
        <f t="shared" si="7"/>
        <v>188400</v>
      </c>
      <c r="AC11" s="30">
        <f aca="true" t="shared" si="8" ref="AC11:AH11">AC29-AB29</f>
        <v>200800</v>
      </c>
      <c r="AD11" s="30">
        <f t="shared" si="8"/>
        <v>300700</v>
      </c>
      <c r="AE11" s="30">
        <f t="shared" si="8"/>
        <v>253400</v>
      </c>
      <c r="AF11" s="30">
        <f t="shared" si="8"/>
        <v>165300</v>
      </c>
      <c r="AG11" s="30">
        <f t="shared" si="8"/>
        <v>233700</v>
      </c>
      <c r="AH11" s="30">
        <f t="shared" si="8"/>
        <v>339400</v>
      </c>
      <c r="AI11" s="30">
        <f>AI29-AH29</f>
        <v>280700</v>
      </c>
      <c r="AJ11" s="30">
        <f>AJ29-AI29</f>
        <v>165700</v>
      </c>
      <c r="AK11" s="30">
        <f>AK29-AJ29</f>
        <v>220600</v>
      </c>
      <c r="AL11" s="30">
        <f>AL29-AK29</f>
        <v>255200</v>
      </c>
      <c r="AM11" s="30">
        <f>AM29-AL29</f>
        <v>203500</v>
      </c>
      <c r="AN11" s="30">
        <f>AN29-AM29</f>
        <v>191800</v>
      </c>
      <c r="AO11" s="76"/>
      <c r="AP11" s="84"/>
    </row>
    <row r="12" spans="1:42" ht="15">
      <c r="A12" s="3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112"/>
      <c r="AH12" s="112"/>
      <c r="AI12" s="112"/>
      <c r="AJ12" s="112"/>
      <c r="AK12" s="112"/>
      <c r="AL12" s="112"/>
      <c r="AM12" s="112"/>
      <c r="AN12" s="112"/>
      <c r="AO12" s="84"/>
      <c r="AP12" s="84"/>
    </row>
    <row r="13" spans="1:42" ht="33.75" customHeight="1">
      <c r="A13" s="37" t="s">
        <v>90</v>
      </c>
      <c r="B13" s="38" t="s">
        <v>3</v>
      </c>
      <c r="C13" s="38" t="s">
        <v>4</v>
      </c>
      <c r="D13" s="38" t="s">
        <v>5</v>
      </c>
      <c r="E13" s="38" t="s">
        <v>6</v>
      </c>
      <c r="F13" s="38" t="s">
        <v>7</v>
      </c>
      <c r="G13" s="38" t="s">
        <v>8</v>
      </c>
      <c r="H13" s="38" t="s">
        <v>9</v>
      </c>
      <c r="I13" s="38" t="s">
        <v>10</v>
      </c>
      <c r="J13" s="38" t="s">
        <v>43</v>
      </c>
      <c r="K13" s="38" t="s">
        <v>45</v>
      </c>
      <c r="L13" s="38" t="s">
        <v>46</v>
      </c>
      <c r="M13" s="38" t="s">
        <v>50</v>
      </c>
      <c r="N13" s="38" t="s">
        <v>53</v>
      </c>
      <c r="O13" s="38" t="s">
        <v>58</v>
      </c>
      <c r="P13" s="38" t="s">
        <v>59</v>
      </c>
      <c r="Q13" s="38" t="s">
        <v>60</v>
      </c>
      <c r="R13" s="38" t="s">
        <v>61</v>
      </c>
      <c r="S13" s="38" t="s">
        <v>62</v>
      </c>
      <c r="T13" s="38" t="s">
        <v>63</v>
      </c>
      <c r="U13" s="38" t="s">
        <v>65</v>
      </c>
      <c r="V13" s="38" t="s">
        <v>70</v>
      </c>
      <c r="W13" s="38" t="s">
        <v>74</v>
      </c>
      <c r="X13" s="38" t="s">
        <v>79</v>
      </c>
      <c r="Y13" s="38" t="s">
        <v>82</v>
      </c>
      <c r="Z13" s="38" t="s">
        <v>102</v>
      </c>
      <c r="AA13" s="38" t="s">
        <v>104</v>
      </c>
      <c r="AB13" s="38" t="s">
        <v>108</v>
      </c>
      <c r="AC13" s="38" t="s">
        <v>111</v>
      </c>
      <c r="AD13" s="38" t="s">
        <v>112</v>
      </c>
      <c r="AE13" s="38" t="s">
        <v>113</v>
      </c>
      <c r="AF13" s="38" t="s">
        <v>119</v>
      </c>
      <c r="AG13" s="38" t="s">
        <v>129</v>
      </c>
      <c r="AH13" s="38" t="s">
        <v>135</v>
      </c>
      <c r="AI13" s="38" t="s">
        <v>136</v>
      </c>
      <c r="AJ13" s="38" t="s">
        <v>142</v>
      </c>
      <c r="AK13" s="38" t="s">
        <v>143</v>
      </c>
      <c r="AL13" s="38" t="s">
        <v>147</v>
      </c>
      <c r="AM13" s="38" t="s">
        <v>150</v>
      </c>
      <c r="AN13" s="38" t="s">
        <v>162</v>
      </c>
      <c r="AO13" s="38" t="s">
        <v>163</v>
      </c>
      <c r="AP13" s="84"/>
    </row>
    <row r="14" spans="1:42" ht="15">
      <c r="A14" s="32" t="s">
        <v>114</v>
      </c>
      <c r="B14" s="39">
        <v>8679000</v>
      </c>
      <c r="C14" s="39">
        <v>8827000</v>
      </c>
      <c r="D14" s="39">
        <v>8772000</v>
      </c>
      <c r="E14" s="39">
        <v>8480000</v>
      </c>
      <c r="F14" s="39">
        <v>8457000</v>
      </c>
      <c r="G14" s="40">
        <v>8385000</v>
      </c>
      <c r="H14" s="40">
        <v>8261000</v>
      </c>
      <c r="I14" s="39">
        <v>8196000</v>
      </c>
      <c r="J14" s="39">
        <v>8074000</v>
      </c>
      <c r="K14" s="39">
        <v>8062000</v>
      </c>
      <c r="L14" s="39">
        <v>8026000</v>
      </c>
      <c r="M14" s="39">
        <v>8031000</v>
      </c>
      <c r="N14" s="41">
        <f>8044000-N15</f>
        <v>8041600</v>
      </c>
      <c r="O14" s="41">
        <f>8057000-O15</f>
        <v>8052850</v>
      </c>
      <c r="P14" s="41">
        <f>8013000-P15</f>
        <v>8005500</v>
      </c>
      <c r="Q14" s="39">
        <v>7946500</v>
      </c>
      <c r="R14" s="39">
        <f>7980000-R15</f>
        <v>7927000</v>
      </c>
      <c r="S14" s="39">
        <f>8112000-S15</f>
        <v>7995000</v>
      </c>
      <c r="T14" s="39">
        <f>8391000-T15</f>
        <v>8200600</v>
      </c>
      <c r="U14" s="39">
        <f>8510000-U15</f>
        <v>8228200</v>
      </c>
      <c r="V14" s="39">
        <f>8551000-V15</f>
        <v>8169600</v>
      </c>
      <c r="W14" s="39">
        <f>8543000-W15</f>
        <v>8025300</v>
      </c>
      <c r="X14" s="41">
        <f>8577000-X15</f>
        <v>7869000</v>
      </c>
      <c r="Y14" s="41">
        <f>8591000-Y15</f>
        <v>7696000</v>
      </c>
      <c r="Z14" s="92">
        <f>8653000-Z15</f>
        <v>7513000</v>
      </c>
      <c r="AA14" s="92">
        <f>8770000-AA15</f>
        <v>7359000</v>
      </c>
      <c r="AB14" s="92">
        <f>8860000-AB15</f>
        <v>7184000</v>
      </c>
      <c r="AC14" s="92">
        <f>8962000-AC15</f>
        <v>6970000</v>
      </c>
      <c r="AD14" s="92">
        <f>8997000-AD15</f>
        <v>6667000</v>
      </c>
      <c r="AE14" s="92">
        <f>9153000-AE15</f>
        <v>6476000</v>
      </c>
      <c r="AF14" s="76">
        <f>9252000-AF15</f>
        <v>6233000</v>
      </c>
      <c r="AG14" s="76">
        <f>9332000-AG15</f>
        <v>5969000</v>
      </c>
      <c r="AH14" s="76">
        <f>9465000-AH15</f>
        <v>5727000</v>
      </c>
      <c r="AI14" s="76">
        <f>9544000-AI15</f>
        <v>5351000</v>
      </c>
      <c r="AJ14" s="76">
        <f>9639000-AJ15</f>
        <v>5057000</v>
      </c>
      <c r="AK14" s="76">
        <f>9726000-AK15</f>
        <v>4729000</v>
      </c>
      <c r="AL14" s="76">
        <f>9850000-AL15</f>
        <v>4358000</v>
      </c>
      <c r="AM14" s="76">
        <f>9947000-AM15</f>
        <v>4040000</v>
      </c>
      <c r="AN14" s="76">
        <f>10002000-AN15</f>
        <v>3763000</v>
      </c>
      <c r="AO14" s="89" t="s">
        <v>130</v>
      </c>
      <c r="AP14" s="117"/>
    </row>
    <row r="15" spans="1:42" ht="15">
      <c r="A15" s="32" t="s">
        <v>115</v>
      </c>
      <c r="B15" s="39"/>
      <c r="C15" s="39"/>
      <c r="D15" s="39"/>
      <c r="E15" s="39"/>
      <c r="F15" s="39"/>
      <c r="G15" s="40"/>
      <c r="H15" s="40"/>
      <c r="I15" s="39"/>
      <c r="J15" s="39"/>
      <c r="K15" s="39"/>
      <c r="L15" s="39"/>
      <c r="M15" s="39"/>
      <c r="N15" s="34">
        <v>2400</v>
      </c>
      <c r="O15" s="34">
        <v>4150</v>
      </c>
      <c r="P15" s="34">
        <v>7500</v>
      </c>
      <c r="Q15" s="33">
        <v>24500</v>
      </c>
      <c r="R15" s="33">
        <v>53000</v>
      </c>
      <c r="S15" s="33">
        <v>117000</v>
      </c>
      <c r="T15" s="33">
        <v>190400</v>
      </c>
      <c r="U15" s="33">
        <v>281800</v>
      </c>
      <c r="V15" s="33">
        <v>381400</v>
      </c>
      <c r="W15" s="33">
        <v>517700</v>
      </c>
      <c r="X15" s="41">
        <v>708000</v>
      </c>
      <c r="Y15" s="41">
        <v>895000</v>
      </c>
      <c r="Z15" s="92">
        <v>1140000</v>
      </c>
      <c r="AA15" s="92">
        <v>1411000</v>
      </c>
      <c r="AB15" s="92">
        <v>1676000</v>
      </c>
      <c r="AC15" s="92">
        <v>1992000</v>
      </c>
      <c r="AD15" s="92">
        <v>2330000</v>
      </c>
      <c r="AE15" s="92">
        <v>2677000</v>
      </c>
      <c r="AF15" s="76">
        <v>3019000</v>
      </c>
      <c r="AG15" s="76">
        <v>3363000</v>
      </c>
      <c r="AH15" s="76">
        <v>3738000</v>
      </c>
      <c r="AI15" s="76">
        <v>4193000</v>
      </c>
      <c r="AJ15" s="76">
        <v>4582000</v>
      </c>
      <c r="AK15" s="76">
        <v>4997000</v>
      </c>
      <c r="AL15" s="76">
        <v>5492000</v>
      </c>
      <c r="AM15" s="76">
        <v>5907000</v>
      </c>
      <c r="AN15" s="76">
        <v>6239000</v>
      </c>
      <c r="AO15" s="89" t="s">
        <v>130</v>
      </c>
      <c r="AP15" s="117" t="s">
        <v>164</v>
      </c>
    </row>
    <row r="16" spans="1:42" ht="15">
      <c r="A16" s="32" t="s">
        <v>169</v>
      </c>
      <c r="B16" s="39">
        <v>55000</v>
      </c>
      <c r="C16" s="39">
        <v>75000</v>
      </c>
      <c r="D16" s="39">
        <v>80000</v>
      </c>
      <c r="E16" s="41">
        <v>81400</v>
      </c>
      <c r="F16" s="33">
        <v>84000</v>
      </c>
      <c r="G16" s="33">
        <v>85000</v>
      </c>
      <c r="H16" s="33">
        <v>86000</v>
      </c>
      <c r="I16" s="33">
        <v>87000</v>
      </c>
      <c r="J16" s="33">
        <v>88000</v>
      </c>
      <c r="K16" s="33">
        <v>88000</v>
      </c>
      <c r="L16" s="33">
        <v>89000</v>
      </c>
      <c r="M16" s="33">
        <v>90000</v>
      </c>
      <c r="N16" s="33">
        <v>91000</v>
      </c>
      <c r="O16" s="33">
        <v>92000</v>
      </c>
      <c r="P16" s="33">
        <v>93000</v>
      </c>
      <c r="Q16" s="33">
        <v>94000</v>
      </c>
      <c r="R16" s="33">
        <v>95000</v>
      </c>
      <c r="S16" s="33">
        <v>96000</v>
      </c>
      <c r="T16" s="33">
        <v>97000</v>
      </c>
      <c r="U16" s="33">
        <v>98000</v>
      </c>
      <c r="V16" s="33">
        <v>99000</v>
      </c>
      <c r="W16" s="33">
        <f>100000-W17</f>
        <v>99000</v>
      </c>
      <c r="X16" s="33">
        <f>100500-X17</f>
        <v>98200</v>
      </c>
      <c r="Y16" s="33">
        <f>101000-Y17</f>
        <v>98500</v>
      </c>
      <c r="Z16" s="33">
        <f>101000-Z17</f>
        <v>97600</v>
      </c>
      <c r="AA16" s="33">
        <f>101000-AA17</f>
        <v>97400</v>
      </c>
      <c r="AB16" s="33">
        <f>101000-AB17</f>
        <v>96800</v>
      </c>
      <c r="AC16" s="74">
        <f>101000-AC17</f>
        <v>96000</v>
      </c>
      <c r="AD16" s="74">
        <f aca="true" t="shared" si="9" ref="AD16:AJ16">110000-AD17</f>
        <v>103020</v>
      </c>
      <c r="AE16" s="74">
        <f t="shared" si="9"/>
        <v>102000</v>
      </c>
      <c r="AF16" s="74">
        <f t="shared" si="9"/>
        <v>100805</v>
      </c>
      <c r="AG16" s="74">
        <f t="shared" si="9"/>
        <v>100000</v>
      </c>
      <c r="AH16" s="74">
        <f t="shared" si="9"/>
        <v>97100</v>
      </c>
      <c r="AI16" s="74">
        <f t="shared" si="9"/>
        <v>96500</v>
      </c>
      <c r="AJ16" s="74">
        <f t="shared" si="9"/>
        <v>91480</v>
      </c>
      <c r="AK16" s="74">
        <f>110000-AK17</f>
        <v>91200</v>
      </c>
      <c r="AL16" s="74">
        <f>110000-AL17</f>
        <v>86175</v>
      </c>
      <c r="AM16" s="74">
        <f>110000-AM17</f>
        <v>84000</v>
      </c>
      <c r="AN16" s="74">
        <f>110000-AN17</f>
        <v>82000</v>
      </c>
      <c r="AO16" s="89" t="s">
        <v>49</v>
      </c>
      <c r="AP16" s="84"/>
    </row>
    <row r="17" spans="1:42" ht="15">
      <c r="A17" s="32" t="s">
        <v>170</v>
      </c>
      <c r="B17" s="39"/>
      <c r="C17" s="39"/>
      <c r="D17" s="39"/>
      <c r="E17" s="41"/>
      <c r="F17" s="33"/>
      <c r="G17" s="33"/>
      <c r="H17" s="33"/>
      <c r="I17" s="33"/>
      <c r="J17" s="33"/>
      <c r="K17" s="33"/>
      <c r="L17" s="33"/>
      <c r="M17" s="33"/>
      <c r="N17" s="33"/>
      <c r="O17" s="33"/>
      <c r="P17" s="33"/>
      <c r="Q17" s="33"/>
      <c r="R17" s="33"/>
      <c r="S17" s="33"/>
      <c r="T17" s="33"/>
      <c r="U17" s="33"/>
      <c r="V17" s="33"/>
      <c r="W17" s="39">
        <v>1000</v>
      </c>
      <c r="X17" s="39">
        <v>2300</v>
      </c>
      <c r="Y17" s="74">
        <v>2500</v>
      </c>
      <c r="Z17" s="76">
        <v>3400</v>
      </c>
      <c r="AA17" s="76">
        <v>3600</v>
      </c>
      <c r="AB17" s="76">
        <v>4200</v>
      </c>
      <c r="AC17" s="76">
        <v>5000</v>
      </c>
      <c r="AD17" s="76">
        <v>6980</v>
      </c>
      <c r="AE17" s="74">
        <v>8000</v>
      </c>
      <c r="AF17" s="76">
        <v>9195</v>
      </c>
      <c r="AG17" s="74">
        <v>10000</v>
      </c>
      <c r="AH17" s="76">
        <v>12900</v>
      </c>
      <c r="AI17" s="74">
        <v>13500</v>
      </c>
      <c r="AJ17" s="76">
        <v>18520</v>
      </c>
      <c r="AK17" s="74">
        <v>18800</v>
      </c>
      <c r="AL17" s="76">
        <v>23825</v>
      </c>
      <c r="AM17" s="74">
        <v>26000</v>
      </c>
      <c r="AN17" s="74">
        <v>28000</v>
      </c>
      <c r="AO17" s="89" t="s">
        <v>49</v>
      </c>
      <c r="AP17" s="84"/>
    </row>
    <row r="18" spans="1:42" ht="15">
      <c r="A18" s="32" t="s">
        <v>11</v>
      </c>
      <c r="B18" s="39">
        <v>1295000</v>
      </c>
      <c r="C18" s="39">
        <v>1910000</v>
      </c>
      <c r="D18" s="39">
        <v>2424000</v>
      </c>
      <c r="E18" s="39">
        <v>3195000</v>
      </c>
      <c r="F18" s="39">
        <v>3729000</v>
      </c>
      <c r="G18" s="39">
        <v>4300000</v>
      </c>
      <c r="H18" s="39">
        <v>4761000</v>
      </c>
      <c r="I18" s="39">
        <v>5084000</v>
      </c>
      <c r="J18" s="39">
        <v>5501000</v>
      </c>
      <c r="K18" s="39">
        <v>5750000</v>
      </c>
      <c r="L18" s="39">
        <v>5957000</v>
      </c>
      <c r="M18" s="39">
        <v>6121000</v>
      </c>
      <c r="N18" s="39">
        <v>6352000</v>
      </c>
      <c r="O18" s="39">
        <v>6620000</v>
      </c>
      <c r="P18" s="39">
        <v>6906000</v>
      </c>
      <c r="Q18" s="39">
        <v>7143000</v>
      </c>
      <c r="R18" s="39">
        <v>7490000</v>
      </c>
      <c r="S18" s="41">
        <v>7608000</v>
      </c>
      <c r="T18" s="41">
        <v>7579000</v>
      </c>
      <c r="U18" s="41">
        <v>7722000</v>
      </c>
      <c r="V18" s="41">
        <v>7941000</v>
      </c>
      <c r="W18" s="41">
        <v>8253000</v>
      </c>
      <c r="X18" s="92">
        <v>8376000</v>
      </c>
      <c r="Y18" s="92">
        <v>8511000</v>
      </c>
      <c r="Z18" s="92">
        <v>8692000</v>
      </c>
      <c r="AA18" s="92">
        <v>8860000</v>
      </c>
      <c r="AB18" s="92">
        <v>8958000</v>
      </c>
      <c r="AC18" s="92">
        <v>9025000</v>
      </c>
      <c r="AD18" s="92">
        <v>9241000</v>
      </c>
      <c r="AE18" s="92">
        <v>9302000</v>
      </c>
      <c r="AF18" s="76">
        <v>9366000</v>
      </c>
      <c r="AG18" s="76">
        <v>9468000</v>
      </c>
      <c r="AH18" s="76">
        <v>9593000</v>
      </c>
      <c r="AI18" s="76">
        <v>9761000</v>
      </c>
      <c r="AJ18" s="76">
        <v>9816000</v>
      </c>
      <c r="AK18" s="76">
        <v>9889000</v>
      </c>
      <c r="AL18" s="76">
        <v>9947000</v>
      </c>
      <c r="AM18" s="76">
        <v>9980000</v>
      </c>
      <c r="AN18" s="76">
        <v>10001000</v>
      </c>
      <c r="AO18" s="89" t="s">
        <v>130</v>
      </c>
      <c r="AP18" s="117" t="s">
        <v>165</v>
      </c>
    </row>
    <row r="19" spans="1:42" ht="15">
      <c r="A19" s="32" t="s">
        <v>12</v>
      </c>
      <c r="B19" s="39"/>
      <c r="C19" s="39">
        <v>3146400</v>
      </c>
      <c r="D19" s="39">
        <v>3191900</v>
      </c>
      <c r="E19" s="39">
        <v>3307700</v>
      </c>
      <c r="F19" s="39">
        <v>3413900</v>
      </c>
      <c r="G19" s="39">
        <v>3502300</v>
      </c>
      <c r="H19" s="39">
        <v>3563400</v>
      </c>
      <c r="I19" s="39">
        <v>3625700</v>
      </c>
      <c r="J19" s="39">
        <v>3682800</v>
      </c>
      <c r="K19" s="39">
        <v>3730100</v>
      </c>
      <c r="L19" s="41">
        <v>3735200</v>
      </c>
      <c r="M19" s="39">
        <v>3774200</v>
      </c>
      <c r="N19" s="39">
        <v>3837800</v>
      </c>
      <c r="O19" s="39">
        <v>3910100</v>
      </c>
      <c r="P19" s="39">
        <v>3936000</v>
      </c>
      <c r="Q19" s="39">
        <v>3969800</v>
      </c>
      <c r="R19" s="39">
        <v>4011100</v>
      </c>
      <c r="S19" s="39">
        <v>4061200</v>
      </c>
      <c r="T19" s="39">
        <v>4048600</v>
      </c>
      <c r="U19" s="39">
        <v>4072900</v>
      </c>
      <c r="V19" s="39">
        <v>4102900</v>
      </c>
      <c r="W19" s="39">
        <v>4148600</v>
      </c>
      <c r="X19" s="39">
        <v>4152600</v>
      </c>
      <c r="Y19" s="39">
        <v>4209500</v>
      </c>
      <c r="Z19" s="39">
        <v>4272200</v>
      </c>
      <c r="AA19" s="39">
        <v>4309600</v>
      </c>
      <c r="AB19" s="39">
        <v>4306400</v>
      </c>
      <c r="AC19" s="76">
        <v>4336600</v>
      </c>
      <c r="AD19" s="76">
        <v>4375700</v>
      </c>
      <c r="AE19" s="76">
        <v>4415800</v>
      </c>
      <c r="AF19" s="76">
        <v>4415500</v>
      </c>
      <c r="AG19" s="76">
        <v>4464100</v>
      </c>
      <c r="AH19" s="76">
        <v>4536600</v>
      </c>
      <c r="AI19" s="76">
        <v>4563700</v>
      </c>
      <c r="AJ19" s="76">
        <v>4570300</v>
      </c>
      <c r="AK19" s="76">
        <v>4625800</v>
      </c>
      <c r="AL19" s="76">
        <v>4694900</v>
      </c>
      <c r="AM19" s="76">
        <v>4765300</v>
      </c>
      <c r="AN19" s="76">
        <v>4808000</v>
      </c>
      <c r="AO19" s="89" t="s">
        <v>44</v>
      </c>
      <c r="AP19" s="84"/>
    </row>
    <row r="20" spans="1:42" ht="15">
      <c r="A20" s="32" t="s">
        <v>13</v>
      </c>
      <c r="B20" s="39"/>
      <c r="C20" s="33">
        <v>10000</v>
      </c>
      <c r="D20" s="33">
        <v>10000</v>
      </c>
      <c r="E20" s="33">
        <v>10000</v>
      </c>
      <c r="F20" s="33">
        <v>10000</v>
      </c>
      <c r="G20" s="33">
        <v>11000</v>
      </c>
      <c r="H20" s="33">
        <v>11000</v>
      </c>
      <c r="I20" s="33">
        <v>11000</v>
      </c>
      <c r="J20" s="33">
        <v>11000</v>
      </c>
      <c r="K20" s="33">
        <v>11000</v>
      </c>
      <c r="L20" s="33">
        <v>11000</v>
      </c>
      <c r="M20" s="33">
        <v>11000</v>
      </c>
      <c r="N20" s="33">
        <v>11000</v>
      </c>
      <c r="O20" s="33">
        <v>11000</v>
      </c>
      <c r="P20" s="33">
        <v>11000</v>
      </c>
      <c r="Q20" s="33">
        <v>11000</v>
      </c>
      <c r="R20" s="33">
        <v>11000</v>
      </c>
      <c r="S20" s="33">
        <v>11000</v>
      </c>
      <c r="T20" s="33">
        <v>11000</v>
      </c>
      <c r="U20" s="33">
        <v>11000</v>
      </c>
      <c r="V20" s="33">
        <v>11000</v>
      </c>
      <c r="W20" s="33">
        <v>11000</v>
      </c>
      <c r="X20" s="33">
        <v>11000</v>
      </c>
      <c r="Y20" s="33">
        <v>11000</v>
      </c>
      <c r="Z20" s="33">
        <v>11000</v>
      </c>
      <c r="AA20" s="33">
        <v>11000</v>
      </c>
      <c r="AB20" s="33">
        <v>11000</v>
      </c>
      <c r="AC20" s="74">
        <v>11000</v>
      </c>
      <c r="AD20" s="74">
        <v>11000</v>
      </c>
      <c r="AE20" s="74">
        <v>5700</v>
      </c>
      <c r="AF20" s="74">
        <v>5700</v>
      </c>
      <c r="AG20" s="74">
        <v>5700</v>
      </c>
      <c r="AH20" s="74">
        <v>4500</v>
      </c>
      <c r="AI20" s="74">
        <v>4500</v>
      </c>
      <c r="AJ20" s="74">
        <v>4500</v>
      </c>
      <c r="AK20" s="74">
        <v>4500</v>
      </c>
      <c r="AL20" s="74">
        <v>4500</v>
      </c>
      <c r="AM20" s="74">
        <v>4500</v>
      </c>
      <c r="AN20" s="74">
        <v>4500</v>
      </c>
      <c r="AO20" s="89" t="s">
        <v>49</v>
      </c>
      <c r="AP20" s="84" t="s">
        <v>117</v>
      </c>
    </row>
    <row r="21" spans="1:42" ht="15">
      <c r="A21" s="32" t="s">
        <v>54</v>
      </c>
      <c r="B21" s="39"/>
      <c r="C21" s="33"/>
      <c r="D21" s="33"/>
      <c r="E21" s="33"/>
      <c r="F21" s="33"/>
      <c r="G21" s="33"/>
      <c r="H21" s="33"/>
      <c r="I21" s="33"/>
      <c r="J21" s="33"/>
      <c r="K21" s="33"/>
      <c r="L21" s="33"/>
      <c r="M21" s="33">
        <v>1700</v>
      </c>
      <c r="N21" s="33">
        <v>1700</v>
      </c>
      <c r="O21" s="33">
        <v>2000</v>
      </c>
      <c r="P21" s="33">
        <v>3000</v>
      </c>
      <c r="Q21" s="33">
        <v>3200</v>
      </c>
      <c r="R21" s="33">
        <v>3500</v>
      </c>
      <c r="S21" s="33">
        <v>3900</v>
      </c>
      <c r="T21" s="33">
        <v>4600</v>
      </c>
      <c r="U21" s="33">
        <v>5300</v>
      </c>
      <c r="V21" s="33">
        <v>8600</v>
      </c>
      <c r="W21" s="33">
        <v>9000</v>
      </c>
      <c r="X21" s="33">
        <v>10000</v>
      </c>
      <c r="Y21" s="33">
        <v>11000</v>
      </c>
      <c r="Z21" s="33">
        <v>15000</v>
      </c>
      <c r="AA21" s="74">
        <v>21000</v>
      </c>
      <c r="AB21" s="74">
        <v>24500</v>
      </c>
      <c r="AC21" s="74">
        <v>26000</v>
      </c>
      <c r="AD21" s="74">
        <v>27500</v>
      </c>
      <c r="AE21" s="74">
        <v>29000</v>
      </c>
      <c r="AF21" s="74">
        <v>31500</v>
      </c>
      <c r="AG21" s="74">
        <v>34500</v>
      </c>
      <c r="AH21" s="74">
        <v>44500</v>
      </c>
      <c r="AI21" s="74">
        <v>51000</v>
      </c>
      <c r="AJ21" s="74">
        <v>60000</v>
      </c>
      <c r="AK21" s="74">
        <v>65000</v>
      </c>
      <c r="AL21" s="74">
        <v>69000</v>
      </c>
      <c r="AM21" s="74">
        <v>72000</v>
      </c>
      <c r="AN21" s="74">
        <v>100000</v>
      </c>
      <c r="AO21" s="89" t="s">
        <v>51</v>
      </c>
      <c r="AP21" s="84"/>
    </row>
    <row r="22" spans="1:42" ht="15">
      <c r="A22" s="32" t="s">
        <v>14</v>
      </c>
      <c r="B22" s="34">
        <v>26600</v>
      </c>
      <c r="C22" s="34">
        <v>35000</v>
      </c>
      <c r="D22" s="34">
        <v>35000</v>
      </c>
      <c r="E22" s="34">
        <v>34000</v>
      </c>
      <c r="F22" s="34">
        <v>35000</v>
      </c>
      <c r="G22" s="34">
        <v>36000</v>
      </c>
      <c r="H22" s="34">
        <v>36000</v>
      </c>
      <c r="I22" s="34">
        <v>36000</v>
      </c>
      <c r="J22" s="34">
        <v>36000</v>
      </c>
      <c r="K22" s="34">
        <v>20000</v>
      </c>
      <c r="L22" s="34">
        <v>20000</v>
      </c>
      <c r="M22" s="34">
        <v>18300</v>
      </c>
      <c r="N22" s="34">
        <v>18500</v>
      </c>
      <c r="O22" s="34">
        <v>18000</v>
      </c>
      <c r="P22" s="34">
        <v>18000</v>
      </c>
      <c r="Q22" s="34">
        <v>18000</v>
      </c>
      <c r="R22" s="34">
        <v>18000</v>
      </c>
      <c r="S22" s="34">
        <v>18000</v>
      </c>
      <c r="T22" s="34">
        <v>18000</v>
      </c>
      <c r="U22" s="34">
        <v>18000</v>
      </c>
      <c r="V22" s="34">
        <v>18000</v>
      </c>
      <c r="W22" s="34">
        <v>19000</v>
      </c>
      <c r="X22" s="34">
        <v>19200</v>
      </c>
      <c r="Y22" s="34">
        <v>19400</v>
      </c>
      <c r="Z22" s="34">
        <v>19500</v>
      </c>
      <c r="AA22" s="86">
        <v>19600</v>
      </c>
      <c r="AB22" s="86">
        <v>19700</v>
      </c>
      <c r="AC22" s="86">
        <v>19800</v>
      </c>
      <c r="AD22" s="86">
        <v>19900</v>
      </c>
      <c r="AE22" s="86">
        <v>20000</v>
      </c>
      <c r="AF22" s="86">
        <v>20100</v>
      </c>
      <c r="AG22" s="86">
        <v>20200</v>
      </c>
      <c r="AH22" s="86">
        <v>20300</v>
      </c>
      <c r="AI22" s="86">
        <v>20400</v>
      </c>
      <c r="AJ22" s="86">
        <v>20500</v>
      </c>
      <c r="AK22" s="86">
        <v>20600</v>
      </c>
      <c r="AL22" s="86">
        <v>20700</v>
      </c>
      <c r="AM22" s="86">
        <v>20800</v>
      </c>
      <c r="AN22" s="86">
        <v>65900</v>
      </c>
      <c r="AO22" s="89" t="s">
        <v>49</v>
      </c>
      <c r="AP22" s="84" t="s">
        <v>176</v>
      </c>
    </row>
    <row r="23" spans="1:40" ht="15">
      <c r="A23" s="35"/>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row>
    <row r="24" spans="1:41" ht="27" customHeight="1">
      <c r="A24" s="37" t="s">
        <v>91</v>
      </c>
      <c r="B24" s="38" t="s">
        <v>3</v>
      </c>
      <c r="C24" s="38" t="s">
        <v>4</v>
      </c>
      <c r="D24" s="38" t="s">
        <v>5</v>
      </c>
      <c r="E24" s="38" t="s">
        <v>6</v>
      </c>
      <c r="F24" s="38" t="s">
        <v>7</v>
      </c>
      <c r="G24" s="38" t="s">
        <v>8</v>
      </c>
      <c r="H24" s="38" t="s">
        <v>9</v>
      </c>
      <c r="I24" s="38" t="s">
        <v>10</v>
      </c>
      <c r="J24" s="38" t="s">
        <v>43</v>
      </c>
      <c r="K24" s="38" t="s">
        <v>45</v>
      </c>
      <c r="L24" s="38" t="s">
        <v>46</v>
      </c>
      <c r="M24" s="38" t="s">
        <v>50</v>
      </c>
      <c r="N24" s="38" t="s">
        <v>53</v>
      </c>
      <c r="O24" s="38" t="s">
        <v>58</v>
      </c>
      <c r="P24" s="38" t="s">
        <v>59</v>
      </c>
      <c r="Q24" s="38" t="s">
        <v>60</v>
      </c>
      <c r="R24" s="38" t="s">
        <v>61</v>
      </c>
      <c r="S24" s="38" t="s">
        <v>62</v>
      </c>
      <c r="T24" s="38" t="s">
        <v>63</v>
      </c>
      <c r="U24" s="38" t="s">
        <v>65</v>
      </c>
      <c r="V24" s="38" t="s">
        <v>70</v>
      </c>
      <c r="W24" s="38" t="s">
        <v>74</v>
      </c>
      <c r="X24" s="38" t="s">
        <v>79</v>
      </c>
      <c r="Y24" s="38" t="s">
        <v>82</v>
      </c>
      <c r="Z24" s="38" t="s">
        <v>102</v>
      </c>
      <c r="AA24" s="38" t="s">
        <v>104</v>
      </c>
      <c r="AB24" s="38" t="s">
        <v>108</v>
      </c>
      <c r="AC24" s="38" t="s">
        <v>111</v>
      </c>
      <c r="AD24" s="38" t="s">
        <v>112</v>
      </c>
      <c r="AE24" s="38" t="s">
        <v>113</v>
      </c>
      <c r="AF24" s="38" t="s">
        <v>119</v>
      </c>
      <c r="AG24" s="38" t="s">
        <v>129</v>
      </c>
      <c r="AH24" s="38" t="s">
        <v>135</v>
      </c>
      <c r="AI24" s="38" t="s">
        <v>136</v>
      </c>
      <c r="AJ24" s="38" t="s">
        <v>142</v>
      </c>
      <c r="AK24" s="38" t="s">
        <v>143</v>
      </c>
      <c r="AL24" s="38" t="s">
        <v>147</v>
      </c>
      <c r="AM24" s="38" t="s">
        <v>150</v>
      </c>
      <c r="AN24" s="38" t="s">
        <v>162</v>
      </c>
      <c r="AO24" s="38" t="s">
        <v>163</v>
      </c>
    </row>
    <row r="25" spans="1:42" ht="15">
      <c r="A25" s="32" t="s">
        <v>18</v>
      </c>
      <c r="B25" s="39">
        <v>10029000</v>
      </c>
      <c r="C25" s="39">
        <v>10812000</v>
      </c>
      <c r="D25" s="39">
        <f aca="true" t="shared" si="10" ref="D25:W25">D14+D16+D18</f>
        <v>11276000</v>
      </c>
      <c r="E25" s="39">
        <f t="shared" si="10"/>
        <v>11756400</v>
      </c>
      <c r="F25" s="39">
        <f t="shared" si="10"/>
        <v>12270000</v>
      </c>
      <c r="G25" s="39">
        <f t="shared" si="10"/>
        <v>12770000</v>
      </c>
      <c r="H25" s="39">
        <f t="shared" si="10"/>
        <v>13108000</v>
      </c>
      <c r="I25" s="39">
        <f t="shared" si="10"/>
        <v>13367000</v>
      </c>
      <c r="J25" s="39">
        <f t="shared" si="10"/>
        <v>13663000</v>
      </c>
      <c r="K25" s="39">
        <f t="shared" si="10"/>
        <v>13900000</v>
      </c>
      <c r="L25" s="39">
        <f t="shared" si="10"/>
        <v>14072000</v>
      </c>
      <c r="M25" s="39">
        <f t="shared" si="10"/>
        <v>14242000</v>
      </c>
      <c r="N25" s="39">
        <f t="shared" si="10"/>
        <v>14484600</v>
      </c>
      <c r="O25" s="39">
        <f t="shared" si="10"/>
        <v>14764850</v>
      </c>
      <c r="P25" s="39">
        <f t="shared" si="10"/>
        <v>15004500</v>
      </c>
      <c r="Q25" s="39">
        <f t="shared" si="10"/>
        <v>15183500</v>
      </c>
      <c r="R25" s="39">
        <f t="shared" si="10"/>
        <v>15512000</v>
      </c>
      <c r="S25" s="39">
        <f t="shared" si="10"/>
        <v>15699000</v>
      </c>
      <c r="T25" s="39">
        <f t="shared" si="10"/>
        <v>15876600</v>
      </c>
      <c r="U25" s="39">
        <f t="shared" si="10"/>
        <v>16048200</v>
      </c>
      <c r="V25" s="39">
        <f t="shared" si="10"/>
        <v>16209600</v>
      </c>
      <c r="W25" s="39">
        <f t="shared" si="10"/>
        <v>16377300</v>
      </c>
      <c r="X25" s="41">
        <f aca="true" t="shared" si="11" ref="X25:AD25">X14+X16+X18</f>
        <v>16343200</v>
      </c>
      <c r="Y25" s="41">
        <f t="shared" si="11"/>
        <v>16305500</v>
      </c>
      <c r="Z25" s="92">
        <f t="shared" si="11"/>
        <v>16302600</v>
      </c>
      <c r="AA25" s="92">
        <f t="shared" si="11"/>
        <v>16316400</v>
      </c>
      <c r="AB25" s="92">
        <f t="shared" si="11"/>
        <v>16238800</v>
      </c>
      <c r="AC25" s="92">
        <f t="shared" si="11"/>
        <v>16091000</v>
      </c>
      <c r="AD25" s="92">
        <f t="shared" si="11"/>
        <v>16011020</v>
      </c>
      <c r="AE25" s="92">
        <f aca="true" t="shared" si="12" ref="AE25:AL25">AE14+AE16+AE18</f>
        <v>15880000</v>
      </c>
      <c r="AF25" s="92">
        <f t="shared" si="12"/>
        <v>15699805</v>
      </c>
      <c r="AG25" s="92">
        <f t="shared" si="12"/>
        <v>15537000</v>
      </c>
      <c r="AH25" s="92">
        <f t="shared" si="12"/>
        <v>15417100</v>
      </c>
      <c r="AI25" s="92">
        <f t="shared" si="12"/>
        <v>15208500</v>
      </c>
      <c r="AJ25" s="92">
        <f t="shared" si="12"/>
        <v>14964480</v>
      </c>
      <c r="AK25" s="92">
        <f t="shared" si="12"/>
        <v>14709200</v>
      </c>
      <c r="AL25" s="92">
        <f t="shared" si="12"/>
        <v>14391175</v>
      </c>
      <c r="AM25" s="92">
        <f>AM14+AM16+AM18</f>
        <v>14104000</v>
      </c>
      <c r="AN25" s="92">
        <f>AN14+AN16+AN18</f>
        <v>13846000</v>
      </c>
      <c r="AO25" s="31"/>
      <c r="AP25" s="85"/>
    </row>
    <row r="26" spans="1:42" ht="15">
      <c r="A26" s="32" t="s">
        <v>19</v>
      </c>
      <c r="B26" s="39">
        <v>3061000</v>
      </c>
      <c r="C26" s="39">
        <v>3156400</v>
      </c>
      <c r="D26" s="39">
        <f aca="true" t="shared" si="13" ref="D26:X26">D19+D20</f>
        <v>3201900</v>
      </c>
      <c r="E26" s="39">
        <f t="shared" si="13"/>
        <v>3317700</v>
      </c>
      <c r="F26" s="39">
        <f t="shared" si="13"/>
        <v>3423900</v>
      </c>
      <c r="G26" s="39">
        <f t="shared" si="13"/>
        <v>3513300</v>
      </c>
      <c r="H26" s="39">
        <f t="shared" si="13"/>
        <v>3574400</v>
      </c>
      <c r="I26" s="39">
        <f t="shared" si="13"/>
        <v>3636700</v>
      </c>
      <c r="J26" s="39">
        <f t="shared" si="13"/>
        <v>3693800</v>
      </c>
      <c r="K26" s="39">
        <f t="shared" si="13"/>
        <v>3741100</v>
      </c>
      <c r="L26" s="39">
        <f t="shared" si="13"/>
        <v>3746200</v>
      </c>
      <c r="M26" s="39">
        <f t="shared" si="13"/>
        <v>3785200</v>
      </c>
      <c r="N26" s="39">
        <f t="shared" si="13"/>
        <v>3848800</v>
      </c>
      <c r="O26" s="39">
        <f t="shared" si="13"/>
        <v>3921100</v>
      </c>
      <c r="P26" s="39">
        <f t="shared" si="13"/>
        <v>3947000</v>
      </c>
      <c r="Q26" s="39">
        <f t="shared" si="13"/>
        <v>3980800</v>
      </c>
      <c r="R26" s="39">
        <f t="shared" si="13"/>
        <v>4022100</v>
      </c>
      <c r="S26" s="39">
        <f t="shared" si="13"/>
        <v>4072200</v>
      </c>
      <c r="T26" s="39">
        <f t="shared" si="13"/>
        <v>4059600</v>
      </c>
      <c r="U26" s="39">
        <f t="shared" si="13"/>
        <v>4083900</v>
      </c>
      <c r="V26" s="39">
        <f t="shared" si="13"/>
        <v>4113900</v>
      </c>
      <c r="W26" s="39">
        <f t="shared" si="13"/>
        <v>4159600</v>
      </c>
      <c r="X26" s="39">
        <f t="shared" si="13"/>
        <v>4163600</v>
      </c>
      <c r="Y26" s="39">
        <f aca="true" t="shared" si="14" ref="Y26:AD26">Y19+Y20</f>
        <v>4220500</v>
      </c>
      <c r="Z26" s="39">
        <f t="shared" si="14"/>
        <v>4283200</v>
      </c>
      <c r="AA26" s="39">
        <f t="shared" si="14"/>
        <v>4320600</v>
      </c>
      <c r="AB26" s="39">
        <f t="shared" si="14"/>
        <v>4317400</v>
      </c>
      <c r="AC26" s="39">
        <f t="shared" si="14"/>
        <v>4347600</v>
      </c>
      <c r="AD26" s="39">
        <f t="shared" si="14"/>
        <v>4386700</v>
      </c>
      <c r="AE26" s="39">
        <f aca="true" t="shared" si="15" ref="AE26:AJ26">AE19+AE20</f>
        <v>4421500</v>
      </c>
      <c r="AF26" s="39">
        <f t="shared" si="15"/>
        <v>4421200</v>
      </c>
      <c r="AG26" s="39">
        <f t="shared" si="15"/>
        <v>4469800</v>
      </c>
      <c r="AH26" s="39">
        <f t="shared" si="15"/>
        <v>4541100</v>
      </c>
      <c r="AI26" s="39">
        <f t="shared" si="15"/>
        <v>4568200</v>
      </c>
      <c r="AJ26" s="76">
        <f t="shared" si="15"/>
        <v>4574800</v>
      </c>
      <c r="AK26" s="76">
        <f>AK19+AK20</f>
        <v>4630300</v>
      </c>
      <c r="AL26" s="76">
        <f>AL19+AL20</f>
        <v>4699400</v>
      </c>
      <c r="AM26" s="76">
        <f>AM19+AM20</f>
        <v>4769800</v>
      </c>
      <c r="AN26" s="76">
        <f>AN19+AN20</f>
        <v>4812500</v>
      </c>
      <c r="AO26" s="31"/>
      <c r="AP26" s="84"/>
    </row>
    <row r="27" spans="1:42" ht="15">
      <c r="A27" s="32" t="s">
        <v>55</v>
      </c>
      <c r="B27" s="39"/>
      <c r="C27" s="39"/>
      <c r="D27" s="39"/>
      <c r="E27" s="39"/>
      <c r="F27" s="39"/>
      <c r="G27" s="39"/>
      <c r="H27" s="39"/>
      <c r="I27" s="39"/>
      <c r="J27" s="39"/>
      <c r="K27" s="39"/>
      <c r="L27" s="39"/>
      <c r="M27" s="33">
        <f aca="true" t="shared" si="16" ref="M27:V27">M15+M21</f>
        <v>1700</v>
      </c>
      <c r="N27" s="33">
        <f t="shared" si="16"/>
        <v>4100</v>
      </c>
      <c r="O27" s="33">
        <f t="shared" si="16"/>
        <v>6150</v>
      </c>
      <c r="P27" s="33">
        <f t="shared" si="16"/>
        <v>10500</v>
      </c>
      <c r="Q27" s="33">
        <f t="shared" si="16"/>
        <v>27700</v>
      </c>
      <c r="R27" s="33">
        <f t="shared" si="16"/>
        <v>56500</v>
      </c>
      <c r="S27" s="33">
        <f t="shared" si="16"/>
        <v>120900</v>
      </c>
      <c r="T27" s="33">
        <f t="shared" si="16"/>
        <v>195000</v>
      </c>
      <c r="U27" s="33">
        <f t="shared" si="16"/>
        <v>287100</v>
      </c>
      <c r="V27" s="33">
        <f t="shared" si="16"/>
        <v>390000</v>
      </c>
      <c r="W27" s="33">
        <f aca="true" t="shared" si="17" ref="W27:AC27">W15+W17+W21</f>
        <v>527700</v>
      </c>
      <c r="X27" s="34">
        <f t="shared" si="17"/>
        <v>720300</v>
      </c>
      <c r="Y27" s="34">
        <f t="shared" si="17"/>
        <v>908500</v>
      </c>
      <c r="Z27" s="34">
        <f t="shared" si="17"/>
        <v>1158400</v>
      </c>
      <c r="AA27" s="34">
        <f t="shared" si="17"/>
        <v>1435600</v>
      </c>
      <c r="AB27" s="34">
        <f t="shared" si="17"/>
        <v>1704700</v>
      </c>
      <c r="AC27" s="34">
        <f t="shared" si="17"/>
        <v>2023000</v>
      </c>
      <c r="AD27" s="34">
        <f aca="true" t="shared" si="18" ref="AD27:AJ27">AD15+AD17+AD21</f>
        <v>2364480</v>
      </c>
      <c r="AE27" s="34">
        <f t="shared" si="18"/>
        <v>2714000</v>
      </c>
      <c r="AF27" s="34">
        <f t="shared" si="18"/>
        <v>3059695</v>
      </c>
      <c r="AG27" s="34">
        <f t="shared" si="18"/>
        <v>3407500</v>
      </c>
      <c r="AH27" s="34">
        <f t="shared" si="18"/>
        <v>3795400</v>
      </c>
      <c r="AI27" s="34">
        <f t="shared" si="18"/>
        <v>4257500</v>
      </c>
      <c r="AJ27" s="34">
        <f t="shared" si="18"/>
        <v>4660520</v>
      </c>
      <c r="AK27" s="34">
        <f>AK15+AK17+AK21</f>
        <v>5080800</v>
      </c>
      <c r="AL27" s="34">
        <f>AL15+AL17+AL21</f>
        <v>5584825</v>
      </c>
      <c r="AM27" s="34">
        <f>AM15+AM17+AM21</f>
        <v>6005000</v>
      </c>
      <c r="AN27" s="34">
        <f>AN15+AN17+AN21</f>
        <v>6367000</v>
      </c>
      <c r="AO27" s="31"/>
      <c r="AP27" s="85"/>
    </row>
    <row r="28" spans="1:42" ht="15">
      <c r="A28" s="32" t="s">
        <v>57</v>
      </c>
      <c r="B28" s="33">
        <v>26600</v>
      </c>
      <c r="C28" s="33">
        <v>35000</v>
      </c>
      <c r="D28" s="33">
        <f aca="true" t="shared" si="19" ref="D28:X28">D22</f>
        <v>35000</v>
      </c>
      <c r="E28" s="33">
        <f t="shared" si="19"/>
        <v>34000</v>
      </c>
      <c r="F28" s="33">
        <f t="shared" si="19"/>
        <v>35000</v>
      </c>
      <c r="G28" s="33">
        <f t="shared" si="19"/>
        <v>36000</v>
      </c>
      <c r="H28" s="33">
        <f t="shared" si="19"/>
        <v>36000</v>
      </c>
      <c r="I28" s="33">
        <f t="shared" si="19"/>
        <v>36000</v>
      </c>
      <c r="J28" s="33">
        <f t="shared" si="19"/>
        <v>36000</v>
      </c>
      <c r="K28" s="33">
        <f t="shared" si="19"/>
        <v>20000</v>
      </c>
      <c r="L28" s="33">
        <f t="shared" si="19"/>
        <v>20000</v>
      </c>
      <c r="M28" s="33">
        <f t="shared" si="19"/>
        <v>18300</v>
      </c>
      <c r="N28" s="33">
        <f t="shared" si="19"/>
        <v>18500</v>
      </c>
      <c r="O28" s="33">
        <f t="shared" si="19"/>
        <v>18000</v>
      </c>
      <c r="P28" s="33">
        <f t="shared" si="19"/>
        <v>18000</v>
      </c>
      <c r="Q28" s="33">
        <f t="shared" si="19"/>
        <v>18000</v>
      </c>
      <c r="R28" s="33">
        <f t="shared" si="19"/>
        <v>18000</v>
      </c>
      <c r="S28" s="33">
        <f t="shared" si="19"/>
        <v>18000</v>
      </c>
      <c r="T28" s="33">
        <f t="shared" si="19"/>
        <v>18000</v>
      </c>
      <c r="U28" s="33">
        <f t="shared" si="19"/>
        <v>18000</v>
      </c>
      <c r="V28" s="33">
        <f t="shared" si="19"/>
        <v>18000</v>
      </c>
      <c r="W28" s="33">
        <f t="shared" si="19"/>
        <v>19000</v>
      </c>
      <c r="X28" s="33">
        <f t="shared" si="19"/>
        <v>19200</v>
      </c>
      <c r="Y28" s="33">
        <f aca="true" t="shared" si="20" ref="Y28:AH28">Y22</f>
        <v>19400</v>
      </c>
      <c r="Z28" s="33">
        <f t="shared" si="20"/>
        <v>19500</v>
      </c>
      <c r="AA28" s="33">
        <f t="shared" si="20"/>
        <v>19600</v>
      </c>
      <c r="AB28" s="33">
        <f t="shared" si="20"/>
        <v>19700</v>
      </c>
      <c r="AC28" s="33">
        <f t="shared" si="20"/>
        <v>19800</v>
      </c>
      <c r="AD28" s="33">
        <f t="shared" si="20"/>
        <v>19900</v>
      </c>
      <c r="AE28" s="33">
        <f t="shared" si="20"/>
        <v>20000</v>
      </c>
      <c r="AF28" s="33">
        <f t="shared" si="20"/>
        <v>20100</v>
      </c>
      <c r="AG28" s="33">
        <f t="shared" si="20"/>
        <v>20200</v>
      </c>
      <c r="AH28" s="33">
        <f t="shared" si="20"/>
        <v>20300</v>
      </c>
      <c r="AI28" s="33">
        <f aca="true" t="shared" si="21" ref="AI28:AN28">AI22</f>
        <v>20400</v>
      </c>
      <c r="AJ28" s="33">
        <f t="shared" si="21"/>
        <v>20500</v>
      </c>
      <c r="AK28" s="33">
        <f t="shared" si="21"/>
        <v>20600</v>
      </c>
      <c r="AL28" s="33">
        <f t="shared" si="21"/>
        <v>20700</v>
      </c>
      <c r="AM28" s="33">
        <f t="shared" si="21"/>
        <v>20800</v>
      </c>
      <c r="AN28" s="33">
        <f t="shared" si="21"/>
        <v>65900</v>
      </c>
      <c r="AO28" s="31"/>
      <c r="AP28" s="84"/>
    </row>
    <row r="29" spans="1:42" ht="15">
      <c r="A29" s="32" t="s">
        <v>17</v>
      </c>
      <c r="B29" s="41">
        <v>13116600</v>
      </c>
      <c r="C29" s="41">
        <v>14003400</v>
      </c>
      <c r="D29" s="41">
        <f aca="true" t="shared" si="22" ref="D29:X29">SUM(D14:D22)</f>
        <v>14512900</v>
      </c>
      <c r="E29" s="41">
        <f t="shared" si="22"/>
        <v>15108100</v>
      </c>
      <c r="F29" s="41">
        <f t="shared" si="22"/>
        <v>15728900</v>
      </c>
      <c r="G29" s="41">
        <f t="shared" si="22"/>
        <v>16319300</v>
      </c>
      <c r="H29" s="41">
        <f t="shared" si="22"/>
        <v>16718400</v>
      </c>
      <c r="I29" s="41">
        <f t="shared" si="22"/>
        <v>17039700</v>
      </c>
      <c r="J29" s="41">
        <f t="shared" si="22"/>
        <v>17392800</v>
      </c>
      <c r="K29" s="41">
        <f t="shared" si="22"/>
        <v>17661100</v>
      </c>
      <c r="L29" s="41">
        <f t="shared" si="22"/>
        <v>17838200</v>
      </c>
      <c r="M29" s="41">
        <f t="shared" si="22"/>
        <v>18047200</v>
      </c>
      <c r="N29" s="41">
        <f t="shared" si="22"/>
        <v>18356000</v>
      </c>
      <c r="O29" s="41">
        <f t="shared" si="22"/>
        <v>18710100</v>
      </c>
      <c r="P29" s="41">
        <f t="shared" si="22"/>
        <v>18980000</v>
      </c>
      <c r="Q29" s="41">
        <f t="shared" si="22"/>
        <v>19210000</v>
      </c>
      <c r="R29" s="41">
        <f t="shared" si="22"/>
        <v>19608600</v>
      </c>
      <c r="S29" s="41">
        <f t="shared" si="22"/>
        <v>19910100</v>
      </c>
      <c r="T29" s="41">
        <f t="shared" si="22"/>
        <v>20149200</v>
      </c>
      <c r="U29" s="41">
        <f t="shared" si="22"/>
        <v>20437200</v>
      </c>
      <c r="V29" s="41">
        <f t="shared" si="22"/>
        <v>20731500</v>
      </c>
      <c r="W29" s="92">
        <f t="shared" si="22"/>
        <v>21083600</v>
      </c>
      <c r="X29" s="92">
        <f t="shared" si="22"/>
        <v>21246300</v>
      </c>
      <c r="Y29" s="92">
        <f aca="true" t="shared" si="23" ref="Y29:AE29">SUM(Y14:Y22)</f>
        <v>21453900</v>
      </c>
      <c r="Z29" s="92">
        <f t="shared" si="23"/>
        <v>21763700</v>
      </c>
      <c r="AA29" s="92">
        <f t="shared" si="23"/>
        <v>22092200</v>
      </c>
      <c r="AB29" s="92">
        <f t="shared" si="23"/>
        <v>22280600</v>
      </c>
      <c r="AC29" s="92">
        <f t="shared" si="23"/>
        <v>22481400</v>
      </c>
      <c r="AD29" s="92">
        <f t="shared" si="23"/>
        <v>22782100</v>
      </c>
      <c r="AE29" s="92">
        <f t="shared" si="23"/>
        <v>23035500</v>
      </c>
      <c r="AF29" s="92">
        <f aca="true" t="shared" si="24" ref="AF29:AL29">SUM(AF14:AF22)</f>
        <v>23200800</v>
      </c>
      <c r="AG29" s="92">
        <f t="shared" si="24"/>
        <v>23434500</v>
      </c>
      <c r="AH29" s="92">
        <f t="shared" si="24"/>
        <v>23773900</v>
      </c>
      <c r="AI29" s="92">
        <f t="shared" si="24"/>
        <v>24054600</v>
      </c>
      <c r="AJ29" s="92">
        <f t="shared" si="24"/>
        <v>24220300</v>
      </c>
      <c r="AK29" s="92">
        <f t="shared" si="24"/>
        <v>24440900</v>
      </c>
      <c r="AL29" s="92">
        <f t="shared" si="24"/>
        <v>24696100</v>
      </c>
      <c r="AM29" s="92">
        <f>SUM(AM14:AM22)</f>
        <v>24899600</v>
      </c>
      <c r="AN29" s="92">
        <f>SUM(AN14:AN22)</f>
        <v>25091400</v>
      </c>
      <c r="AO29" s="31"/>
      <c r="AP29" s="84"/>
    </row>
    <row r="30" spans="1:42" ht="15">
      <c r="A30" s="32" t="s">
        <v>144</v>
      </c>
      <c r="B30" s="39">
        <v>3219000</v>
      </c>
      <c r="C30" s="39">
        <v>3659000</v>
      </c>
      <c r="D30" s="39">
        <v>3834000</v>
      </c>
      <c r="E30" s="39">
        <v>4074000</v>
      </c>
      <c r="F30" s="39">
        <v>4251000</v>
      </c>
      <c r="G30" s="41">
        <v>4402000</v>
      </c>
      <c r="H30" s="39">
        <v>4505000</v>
      </c>
      <c r="I30" s="39">
        <v>4574000</v>
      </c>
      <c r="J30" s="39">
        <v>4658000</v>
      </c>
      <c r="K30" s="39">
        <v>4757000</v>
      </c>
      <c r="L30" s="39">
        <v>4835000</v>
      </c>
      <c r="M30" s="39">
        <v>4906000</v>
      </c>
      <c r="N30" s="41">
        <v>5005600</v>
      </c>
      <c r="O30" s="41">
        <v>5127850</v>
      </c>
      <c r="P30" s="41">
        <v>5219500</v>
      </c>
      <c r="Q30" s="39">
        <v>5318500</v>
      </c>
      <c r="R30" s="39">
        <f>5529000-50000</f>
        <v>5479000</v>
      </c>
      <c r="S30" s="41">
        <f>5691000-113000</f>
        <v>5578000</v>
      </c>
      <c r="T30" s="41">
        <f>5832000-180000</f>
        <v>5652000</v>
      </c>
      <c r="U30" s="41">
        <f>5998000-268000</f>
        <v>5730000</v>
      </c>
      <c r="V30" s="39">
        <f>6144000-363000</f>
        <v>5781000</v>
      </c>
      <c r="W30" s="92">
        <f>6280000-494000</f>
        <v>5786000</v>
      </c>
      <c r="X30" s="92">
        <f>6365000-668000</f>
        <v>5697000</v>
      </c>
      <c r="Y30" s="92">
        <f>6446000-825000</f>
        <v>5621000</v>
      </c>
      <c r="Z30" s="92">
        <f>6569000-1025000</f>
        <v>5544000</v>
      </c>
      <c r="AA30" s="92">
        <f>6704000-1236000</f>
        <v>5468000</v>
      </c>
      <c r="AB30" s="92">
        <f>6799000-1433000</f>
        <v>5366000</v>
      </c>
      <c r="AC30" s="92">
        <f>6961000-1628000</f>
        <v>5333000</v>
      </c>
      <c r="AD30" s="92">
        <f>7111000-1856000</f>
        <v>5255000</v>
      </c>
      <c r="AE30" s="92">
        <f>7281000-2105000</f>
        <v>5176000</v>
      </c>
      <c r="AF30" s="76">
        <f>7385000-2332000</f>
        <v>5053000</v>
      </c>
      <c r="AG30" s="76">
        <f>7473000-2535000</f>
        <v>4938000</v>
      </c>
      <c r="AH30" s="76">
        <f>7592000-2744000</f>
        <v>4848000</v>
      </c>
      <c r="AI30" s="76">
        <f>7713000-3010000</f>
        <v>4703000</v>
      </c>
      <c r="AJ30" s="92">
        <f>7796000-3226000</f>
        <v>4570000</v>
      </c>
      <c r="AK30" s="76">
        <f>7879000-3438000</f>
        <v>4441000</v>
      </c>
      <c r="AL30" s="76">
        <f>7996000-3689000</f>
        <v>4307000</v>
      </c>
      <c r="AM30" s="76">
        <f>9041000-4076000</f>
        <v>4965000</v>
      </c>
      <c r="AN30" s="76">
        <f>9117000-4076000</f>
        <v>5041000</v>
      </c>
      <c r="AO30" s="31" t="s">
        <v>56</v>
      </c>
      <c r="AP30" s="85"/>
    </row>
    <row r="31" spans="1:42" ht="15">
      <c r="A31" s="32" t="s">
        <v>145</v>
      </c>
      <c r="B31" s="41">
        <v>6810000</v>
      </c>
      <c r="C31" s="41">
        <f>C14+C16+C18-C30</f>
        <v>7153000</v>
      </c>
      <c r="D31" s="41">
        <f>D14+D16+D18-D30</f>
        <v>7442000</v>
      </c>
      <c r="E31" s="41">
        <f>E14+E16+E18-E30</f>
        <v>7682400</v>
      </c>
      <c r="F31" s="41">
        <v>8019000</v>
      </c>
      <c r="G31" s="41">
        <v>8368000</v>
      </c>
      <c r="H31" s="41">
        <f aca="true" t="shared" si="25" ref="H31:X31">H14+H16+H18-H30</f>
        <v>8603000</v>
      </c>
      <c r="I31" s="41">
        <f t="shared" si="25"/>
        <v>8793000</v>
      </c>
      <c r="J31" s="41">
        <f t="shared" si="25"/>
        <v>9005000</v>
      </c>
      <c r="K31" s="41">
        <f t="shared" si="25"/>
        <v>9143000</v>
      </c>
      <c r="L31" s="41">
        <f t="shared" si="25"/>
        <v>9237000</v>
      </c>
      <c r="M31" s="41">
        <f t="shared" si="25"/>
        <v>9336000</v>
      </c>
      <c r="N31" s="41">
        <f t="shared" si="25"/>
        <v>9479000</v>
      </c>
      <c r="O31" s="41">
        <f t="shared" si="25"/>
        <v>9637000</v>
      </c>
      <c r="P31" s="41">
        <f t="shared" si="25"/>
        <v>9785000</v>
      </c>
      <c r="Q31" s="41">
        <f t="shared" si="25"/>
        <v>9865000</v>
      </c>
      <c r="R31" s="41">
        <f t="shared" si="25"/>
        <v>10033000</v>
      </c>
      <c r="S31" s="41">
        <f t="shared" si="25"/>
        <v>10121000</v>
      </c>
      <c r="T31" s="41">
        <f t="shared" si="25"/>
        <v>10224600</v>
      </c>
      <c r="U31" s="41">
        <f t="shared" si="25"/>
        <v>10318200</v>
      </c>
      <c r="V31" s="41">
        <f t="shared" si="25"/>
        <v>10428600</v>
      </c>
      <c r="W31" s="41">
        <f t="shared" si="25"/>
        <v>10591300</v>
      </c>
      <c r="X31" s="41">
        <f t="shared" si="25"/>
        <v>10646200</v>
      </c>
      <c r="Y31" s="41">
        <f aca="true" t="shared" si="26" ref="Y31:AI31">Y14+Y16+Y18-Y30</f>
        <v>10684500</v>
      </c>
      <c r="Z31" s="41">
        <f t="shared" si="26"/>
        <v>10758600</v>
      </c>
      <c r="AA31" s="41">
        <f t="shared" si="26"/>
        <v>10848400</v>
      </c>
      <c r="AB31" s="41">
        <f t="shared" si="26"/>
        <v>10872800</v>
      </c>
      <c r="AC31" s="41">
        <f t="shared" si="26"/>
        <v>10758000</v>
      </c>
      <c r="AD31" s="41">
        <f t="shared" si="26"/>
        <v>10756020</v>
      </c>
      <c r="AE31" s="41">
        <f t="shared" si="26"/>
        <v>10704000</v>
      </c>
      <c r="AF31" s="41">
        <f t="shared" si="26"/>
        <v>10646805</v>
      </c>
      <c r="AG31" s="41">
        <f t="shared" si="26"/>
        <v>10599000</v>
      </c>
      <c r="AH31" s="41">
        <f t="shared" si="26"/>
        <v>10569100</v>
      </c>
      <c r="AI31" s="41">
        <f t="shared" si="26"/>
        <v>10505500</v>
      </c>
      <c r="AJ31" s="41">
        <f>AJ14+AJ16+AJ18-AJ30</f>
        <v>10394480</v>
      </c>
      <c r="AK31" s="41">
        <f>AK14+AK16+AK18-AK30</f>
        <v>10268200</v>
      </c>
      <c r="AL31" s="41">
        <f>AL14+AL16+AL18-AL30</f>
        <v>10084175</v>
      </c>
      <c r="AM31" s="41">
        <f>AM14+AM16+AM18-AM30</f>
        <v>9139000</v>
      </c>
      <c r="AN31" s="41">
        <f>AN14+AN16+AN18-AN30</f>
        <v>8805000</v>
      </c>
      <c r="AO31" s="31"/>
      <c r="AP31" s="84"/>
    </row>
    <row r="32" spans="1:42" ht="15">
      <c r="A32" s="35"/>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P32" s="84"/>
    </row>
    <row r="33" spans="1:42" ht="31.5" customHeight="1">
      <c r="A33" s="37" t="s">
        <v>92</v>
      </c>
      <c r="B33" s="38" t="s">
        <v>3</v>
      </c>
      <c r="C33" s="38" t="s">
        <v>4</v>
      </c>
      <c r="D33" s="38" t="s">
        <v>5</v>
      </c>
      <c r="E33" s="38" t="s">
        <v>6</v>
      </c>
      <c r="F33" s="38" t="s">
        <v>7</v>
      </c>
      <c r="G33" s="38" t="s">
        <v>8</v>
      </c>
      <c r="H33" s="38" t="s">
        <v>9</v>
      </c>
      <c r="I33" s="38" t="s">
        <v>10</v>
      </c>
      <c r="J33" s="38" t="s">
        <v>43</v>
      </c>
      <c r="K33" s="38" t="s">
        <v>45</v>
      </c>
      <c r="L33" s="38" t="s">
        <v>46</v>
      </c>
      <c r="M33" s="38" t="s">
        <v>50</v>
      </c>
      <c r="N33" s="38" t="s">
        <v>53</v>
      </c>
      <c r="O33" s="38" t="s">
        <v>58</v>
      </c>
      <c r="P33" s="38" t="s">
        <v>59</v>
      </c>
      <c r="Q33" s="38" t="s">
        <v>60</v>
      </c>
      <c r="R33" s="38" t="s">
        <v>61</v>
      </c>
      <c r="S33" s="38" t="s">
        <v>62</v>
      </c>
      <c r="T33" s="38" t="s">
        <v>63</v>
      </c>
      <c r="U33" s="38" t="s">
        <v>65</v>
      </c>
      <c r="V33" s="38" t="s">
        <v>70</v>
      </c>
      <c r="W33" s="38" t="s">
        <v>74</v>
      </c>
      <c r="X33" s="38" t="s">
        <v>79</v>
      </c>
      <c r="Y33" s="38" t="s">
        <v>82</v>
      </c>
      <c r="Z33" s="38" t="s">
        <v>102</v>
      </c>
      <c r="AA33" s="38" t="s">
        <v>104</v>
      </c>
      <c r="AB33" s="38" t="s">
        <v>108</v>
      </c>
      <c r="AC33" s="38" t="s">
        <v>111</v>
      </c>
      <c r="AD33" s="38" t="s">
        <v>112</v>
      </c>
      <c r="AE33" s="38" t="s">
        <v>113</v>
      </c>
      <c r="AF33" s="38" t="s">
        <v>119</v>
      </c>
      <c r="AG33" s="38" t="s">
        <v>129</v>
      </c>
      <c r="AH33" s="38" t="s">
        <v>135</v>
      </c>
      <c r="AI33" s="38" t="s">
        <v>136</v>
      </c>
      <c r="AJ33" s="38" t="s">
        <v>142</v>
      </c>
      <c r="AK33" s="38" t="s">
        <v>143</v>
      </c>
      <c r="AL33" s="38" t="s">
        <v>147</v>
      </c>
      <c r="AM33" s="38" t="s">
        <v>150</v>
      </c>
      <c r="AN33" s="38" t="s">
        <v>162</v>
      </c>
      <c r="AO33" s="38" t="s">
        <v>163</v>
      </c>
      <c r="AP33" s="84"/>
    </row>
    <row r="34" spans="1:53" s="44" customFormat="1" ht="15">
      <c r="A34" s="31" t="s">
        <v>22</v>
      </c>
      <c r="B34" s="41">
        <v>2901000</v>
      </c>
      <c r="C34" s="41">
        <v>2480000</v>
      </c>
      <c r="D34" s="34">
        <v>2250000</v>
      </c>
      <c r="E34" s="34">
        <v>2040000</v>
      </c>
      <c r="F34" s="34">
        <v>1850000</v>
      </c>
      <c r="G34" s="34">
        <v>1680000</v>
      </c>
      <c r="H34" s="34">
        <v>1520000</v>
      </c>
      <c r="I34" s="34">
        <v>1380000</v>
      </c>
      <c r="J34" s="34">
        <v>1250000</v>
      </c>
      <c r="K34" s="34">
        <v>1130000</v>
      </c>
      <c r="L34" s="34">
        <v>1020000</v>
      </c>
      <c r="M34" s="34">
        <v>930000</v>
      </c>
      <c r="N34" s="34">
        <v>850000</v>
      </c>
      <c r="O34" s="34">
        <v>770000</v>
      </c>
      <c r="P34" s="34">
        <v>770000</v>
      </c>
      <c r="Q34" s="34">
        <v>690000</v>
      </c>
      <c r="R34" s="34">
        <v>650000</v>
      </c>
      <c r="S34" s="34">
        <v>610000</v>
      </c>
      <c r="T34" s="34">
        <v>570000</v>
      </c>
      <c r="U34" s="34">
        <v>530000</v>
      </c>
      <c r="V34" s="34">
        <v>490000</v>
      </c>
      <c r="W34" s="34">
        <v>450000</v>
      </c>
      <c r="X34" s="34">
        <v>410000</v>
      </c>
      <c r="Y34" s="34">
        <v>370000</v>
      </c>
      <c r="Z34" s="34">
        <v>330000</v>
      </c>
      <c r="AA34" s="34">
        <v>290000</v>
      </c>
      <c r="AB34" s="34">
        <v>250000</v>
      </c>
      <c r="AC34" s="86">
        <v>210000</v>
      </c>
      <c r="AD34" s="86">
        <v>170000</v>
      </c>
      <c r="AE34" s="86">
        <v>130000</v>
      </c>
      <c r="AF34" s="86">
        <v>90000</v>
      </c>
      <c r="AG34" s="86">
        <v>50000</v>
      </c>
      <c r="AH34" s="86">
        <v>10000</v>
      </c>
      <c r="AI34" s="86">
        <v>0</v>
      </c>
      <c r="AJ34" s="86">
        <v>0</v>
      </c>
      <c r="AK34" s="86">
        <v>0</v>
      </c>
      <c r="AL34" s="86">
        <v>0</v>
      </c>
      <c r="AM34" s="86">
        <v>0</v>
      </c>
      <c r="AN34" s="86">
        <v>0</v>
      </c>
      <c r="AO34" s="31" t="s">
        <v>52</v>
      </c>
      <c r="AP34" s="84" t="s">
        <v>139</v>
      </c>
      <c r="AQ34" s="84"/>
      <c r="AR34" s="84"/>
      <c r="AS34" s="16"/>
      <c r="AT34" s="16"/>
      <c r="AU34" s="16"/>
      <c r="AV34" s="16"/>
      <c r="AW34" s="16"/>
      <c r="AX34" s="16"/>
      <c r="AY34" s="16"/>
      <c r="AZ34" s="16"/>
      <c r="BA34" s="16"/>
    </row>
    <row r="35" spans="1:53" s="44" customFormat="1" ht="15">
      <c r="A35" s="31" t="s">
        <v>47</v>
      </c>
      <c r="B35" s="41"/>
      <c r="C35" s="41"/>
      <c r="D35" s="41"/>
      <c r="E35" s="41"/>
      <c r="F35" s="41"/>
      <c r="G35" s="41"/>
      <c r="H35" s="41"/>
      <c r="I35" s="41"/>
      <c r="J35" s="41"/>
      <c r="K35" s="34"/>
      <c r="L35" s="34">
        <v>80000</v>
      </c>
      <c r="M35" s="34">
        <v>120000</v>
      </c>
      <c r="N35" s="34">
        <v>160000</v>
      </c>
      <c r="O35" s="34">
        <v>200000</v>
      </c>
      <c r="P35" s="34">
        <v>240000</v>
      </c>
      <c r="Q35" s="34">
        <v>260000</v>
      </c>
      <c r="R35" s="34">
        <v>260000</v>
      </c>
      <c r="S35" s="34">
        <f aca="true" t="shared" si="27" ref="S35:AA35">0.0125*((S10/S8)*S25)</f>
        <v>177707.88437777813</v>
      </c>
      <c r="T35" s="34">
        <f t="shared" si="27"/>
        <v>179940.63084390448</v>
      </c>
      <c r="U35" s="34">
        <f t="shared" si="27"/>
        <v>182146.30831278258</v>
      </c>
      <c r="V35" s="34">
        <f t="shared" si="27"/>
        <v>184242.82584472906</v>
      </c>
      <c r="W35" s="34">
        <f t="shared" si="27"/>
        <v>186458.0570680529</v>
      </c>
      <c r="X35" s="34">
        <f t="shared" si="27"/>
        <v>186209.34991033736</v>
      </c>
      <c r="Y35" s="34">
        <f>0.0125*((Y10/Y8)*Y25)</f>
        <v>185954.36275572274</v>
      </c>
      <c r="Z35" s="34">
        <f t="shared" si="27"/>
        <v>186175.53918910847</v>
      </c>
      <c r="AA35" s="86">
        <f t="shared" si="27"/>
        <v>186591.93220910546</v>
      </c>
      <c r="AB35" s="86">
        <f aca="true" t="shared" si="28" ref="AB35:AG35">0.0125*((AB10/AB8)*AB25)</f>
        <v>185850.35693383485</v>
      </c>
      <c r="AC35" s="86">
        <f t="shared" si="28"/>
        <v>184281.8314362095</v>
      </c>
      <c r="AD35" s="86">
        <f t="shared" si="28"/>
        <v>183573.0021760505</v>
      </c>
      <c r="AE35" s="86">
        <f t="shared" si="28"/>
        <v>182251.53133207443</v>
      </c>
      <c r="AF35" s="86">
        <f t="shared" si="28"/>
        <v>180289.04107872897</v>
      </c>
      <c r="AG35" s="86">
        <f t="shared" si="28"/>
        <v>178567.0171381937</v>
      </c>
      <c r="AH35" s="86">
        <f aca="true" t="shared" si="29" ref="AH35:AN35">0.0125*((AH10/AH8)*AH25)</f>
        <v>177394.83115412283</v>
      </c>
      <c r="AI35" s="86">
        <f t="shared" si="29"/>
        <v>175165.4126705495</v>
      </c>
      <c r="AJ35" s="86">
        <f t="shared" si="29"/>
        <v>172442.025547165</v>
      </c>
      <c r="AK35" s="86">
        <f t="shared" si="29"/>
        <v>169614.48264998425</v>
      </c>
      <c r="AL35" s="86">
        <f t="shared" si="29"/>
        <v>166080.42735113035</v>
      </c>
      <c r="AM35" s="86">
        <f t="shared" si="29"/>
        <v>161629.33862391365</v>
      </c>
      <c r="AN35" s="86">
        <f t="shared" si="29"/>
        <v>158777.27807137108</v>
      </c>
      <c r="AO35" s="93"/>
      <c r="AP35" s="124"/>
      <c r="AQ35" s="16"/>
      <c r="AR35" s="16"/>
      <c r="AS35" s="16"/>
      <c r="AT35" s="16"/>
      <c r="AU35" s="16"/>
      <c r="AV35" s="16"/>
      <c r="AW35" s="16"/>
      <c r="AX35" s="16"/>
      <c r="AY35" s="16"/>
      <c r="AZ35" s="16"/>
      <c r="BA35" s="16"/>
    </row>
    <row r="36" spans="1:53" s="44" customFormat="1" ht="15">
      <c r="A36" s="31" t="s">
        <v>48</v>
      </c>
      <c r="B36" s="41"/>
      <c r="C36" s="41"/>
      <c r="D36" s="41"/>
      <c r="E36" s="41"/>
      <c r="F36" s="41"/>
      <c r="G36" s="41"/>
      <c r="H36" s="41"/>
      <c r="I36" s="41"/>
      <c r="J36" s="41"/>
      <c r="K36" s="34"/>
      <c r="L36" s="41">
        <f aca="true" t="shared" si="30" ref="L36:AA36">L10-L35</f>
        <v>15938200</v>
      </c>
      <c r="M36" s="41">
        <f t="shared" si="30"/>
        <v>16077200</v>
      </c>
      <c r="N36" s="41">
        <f t="shared" si="30"/>
        <v>16316000</v>
      </c>
      <c r="O36" s="41">
        <f t="shared" si="30"/>
        <v>16630100</v>
      </c>
      <c r="P36" s="41">
        <f t="shared" si="30"/>
        <v>16860000</v>
      </c>
      <c r="Q36" s="41">
        <f t="shared" si="30"/>
        <v>17070000</v>
      </c>
      <c r="R36" s="41">
        <f t="shared" si="30"/>
        <v>17468600</v>
      </c>
      <c r="S36" s="41">
        <f t="shared" si="30"/>
        <v>17852392.115622222</v>
      </c>
      <c r="T36" s="41">
        <f t="shared" si="30"/>
        <v>18089259.369156096</v>
      </c>
      <c r="U36" s="41">
        <f t="shared" si="30"/>
        <v>18374753.69168722</v>
      </c>
      <c r="V36" s="41">
        <f t="shared" si="30"/>
        <v>18666957.174155273</v>
      </c>
      <c r="W36" s="41">
        <f t="shared" si="30"/>
        <v>19016741.942931946</v>
      </c>
      <c r="X36" s="41">
        <f t="shared" si="30"/>
        <v>19179690.650089663</v>
      </c>
      <c r="Y36" s="41">
        <f t="shared" si="30"/>
        <v>19387545.637244277</v>
      </c>
      <c r="Z36" s="41">
        <f t="shared" si="30"/>
        <v>19697124.460810892</v>
      </c>
      <c r="AA36" s="41">
        <f t="shared" si="30"/>
        <v>20024858.067790896</v>
      </c>
      <c r="AB36" s="41">
        <f aca="true" t="shared" si="31" ref="AB36:AI36">AB10-AB35</f>
        <v>20213969.643066164</v>
      </c>
      <c r="AC36" s="41">
        <f t="shared" si="31"/>
        <v>20413138.16856379</v>
      </c>
      <c r="AD36" s="41">
        <f t="shared" si="31"/>
        <v>20712926.99782395</v>
      </c>
      <c r="AE36" s="41">
        <f t="shared" si="31"/>
        <v>20967648.468667924</v>
      </c>
      <c r="AF36" s="41">
        <f t="shared" si="31"/>
        <v>21133860.958921272</v>
      </c>
      <c r="AG36" s="41">
        <f t="shared" si="31"/>
        <v>21368082.982861806</v>
      </c>
      <c r="AH36" s="41">
        <f t="shared" si="31"/>
        <v>21706705.168845877</v>
      </c>
      <c r="AI36" s="41">
        <f t="shared" si="31"/>
        <v>21988934.58732945</v>
      </c>
      <c r="AJ36" s="41">
        <f>AJ10-AJ35</f>
        <v>22155617.974452835</v>
      </c>
      <c r="AK36" s="41">
        <f>AK10-AK35</f>
        <v>22376985.517350014</v>
      </c>
      <c r="AL36" s="41">
        <f>AL10-AL35</f>
        <v>22634219.572648868</v>
      </c>
      <c r="AM36" s="41">
        <f>AM10-AM35</f>
        <v>22665970.661376085</v>
      </c>
      <c r="AN36" s="41">
        <f>AN10-AN35</f>
        <v>22859822.72192863</v>
      </c>
      <c r="AO36" s="31"/>
      <c r="AP36" s="16"/>
      <c r="AQ36" s="16"/>
      <c r="AR36" s="16"/>
      <c r="AS36" s="16"/>
      <c r="AT36" s="16"/>
      <c r="AU36" s="16"/>
      <c r="AV36" s="16"/>
      <c r="AW36" s="16"/>
      <c r="AX36" s="16"/>
      <c r="AY36" s="16"/>
      <c r="AZ36" s="16"/>
      <c r="BA36" s="16"/>
    </row>
    <row r="37" spans="1:41" ht="15">
      <c r="A37" s="31" t="s">
        <v>23</v>
      </c>
      <c r="B37" s="41">
        <f aca="true" t="shared" si="32" ref="B37:K37">B34+B10</f>
        <v>14717600</v>
      </c>
      <c r="C37" s="41">
        <f t="shared" si="32"/>
        <v>15112400</v>
      </c>
      <c r="D37" s="41">
        <f t="shared" si="32"/>
        <v>15222900</v>
      </c>
      <c r="E37" s="41">
        <f t="shared" si="32"/>
        <v>15558100</v>
      </c>
      <c r="F37" s="41">
        <f t="shared" si="32"/>
        <v>15958900</v>
      </c>
      <c r="G37" s="41">
        <f t="shared" si="32"/>
        <v>16349300</v>
      </c>
      <c r="H37" s="41">
        <f t="shared" si="32"/>
        <v>16553400</v>
      </c>
      <c r="I37" s="41">
        <f t="shared" si="32"/>
        <v>16734700</v>
      </c>
      <c r="J37" s="41">
        <f t="shared" si="32"/>
        <v>16882800</v>
      </c>
      <c r="K37" s="41">
        <f t="shared" si="32"/>
        <v>17001100</v>
      </c>
      <c r="L37" s="41">
        <f aca="true" t="shared" si="33" ref="L37:AI37">L34+L36</f>
        <v>16958200</v>
      </c>
      <c r="M37" s="41">
        <f t="shared" si="33"/>
        <v>17007200</v>
      </c>
      <c r="N37" s="41">
        <f t="shared" si="33"/>
        <v>17166000</v>
      </c>
      <c r="O37" s="41">
        <f t="shared" si="33"/>
        <v>17400100</v>
      </c>
      <c r="P37" s="41">
        <f t="shared" si="33"/>
        <v>17630000</v>
      </c>
      <c r="Q37" s="41">
        <f t="shared" si="33"/>
        <v>17760000</v>
      </c>
      <c r="R37" s="41">
        <f t="shared" si="33"/>
        <v>18118600</v>
      </c>
      <c r="S37" s="41">
        <f t="shared" si="33"/>
        <v>18462392.115622222</v>
      </c>
      <c r="T37" s="41">
        <f t="shared" si="33"/>
        <v>18659259.369156096</v>
      </c>
      <c r="U37" s="41">
        <f t="shared" si="33"/>
        <v>18904753.69168722</v>
      </c>
      <c r="V37" s="41">
        <f t="shared" si="33"/>
        <v>19156957.174155273</v>
      </c>
      <c r="W37" s="41">
        <f t="shared" si="33"/>
        <v>19466741.942931946</v>
      </c>
      <c r="X37" s="41">
        <f t="shared" si="33"/>
        <v>19589690.650089663</v>
      </c>
      <c r="Y37" s="41">
        <f t="shared" si="33"/>
        <v>19757545.637244277</v>
      </c>
      <c r="Z37" s="41">
        <f t="shared" si="33"/>
        <v>20027124.460810892</v>
      </c>
      <c r="AA37" s="41">
        <f t="shared" si="33"/>
        <v>20314858.067790896</v>
      </c>
      <c r="AB37" s="41">
        <f t="shared" si="33"/>
        <v>20463969.643066164</v>
      </c>
      <c r="AC37" s="41">
        <f t="shared" si="33"/>
        <v>20623138.16856379</v>
      </c>
      <c r="AD37" s="41">
        <f t="shared" si="33"/>
        <v>20882926.99782395</v>
      </c>
      <c r="AE37" s="41">
        <f t="shared" si="33"/>
        <v>21097648.468667924</v>
      </c>
      <c r="AF37" s="41">
        <f t="shared" si="33"/>
        <v>21223860.958921272</v>
      </c>
      <c r="AG37" s="41">
        <f t="shared" si="33"/>
        <v>21418082.982861806</v>
      </c>
      <c r="AH37" s="41">
        <f t="shared" si="33"/>
        <v>21716705.168845877</v>
      </c>
      <c r="AI37" s="41">
        <f t="shared" si="33"/>
        <v>21988934.58732945</v>
      </c>
      <c r="AJ37" s="41">
        <f>AJ34+AJ36</f>
        <v>22155617.974452835</v>
      </c>
      <c r="AK37" s="41">
        <f>AK34+AK36</f>
        <v>22376985.517350014</v>
      </c>
      <c r="AL37" s="41">
        <f>AL34+AL36</f>
        <v>22634219.572648868</v>
      </c>
      <c r="AM37" s="41">
        <f>AM34+AM36</f>
        <v>22665970.661376085</v>
      </c>
      <c r="AN37" s="41">
        <f>AN34+AN36</f>
        <v>22859822.72192863</v>
      </c>
      <c r="AO37" s="31"/>
    </row>
    <row r="38" spans="1:41" ht="15">
      <c r="A38" s="31" t="s">
        <v>26</v>
      </c>
      <c r="B38" s="41">
        <v>185700</v>
      </c>
      <c r="C38" s="41">
        <f aca="true" t="shared" si="34" ref="C38:X38">C37-B37</f>
        <v>394800</v>
      </c>
      <c r="D38" s="41">
        <f t="shared" si="34"/>
        <v>110500</v>
      </c>
      <c r="E38" s="41">
        <f t="shared" si="34"/>
        <v>335200</v>
      </c>
      <c r="F38" s="41">
        <f t="shared" si="34"/>
        <v>400800</v>
      </c>
      <c r="G38" s="41">
        <f t="shared" si="34"/>
        <v>390400</v>
      </c>
      <c r="H38" s="41">
        <f t="shared" si="34"/>
        <v>204100</v>
      </c>
      <c r="I38" s="41">
        <f t="shared" si="34"/>
        <v>181300</v>
      </c>
      <c r="J38" s="41">
        <f t="shared" si="34"/>
        <v>148100</v>
      </c>
      <c r="K38" s="41">
        <f t="shared" si="34"/>
        <v>118300</v>
      </c>
      <c r="L38" s="41">
        <f t="shared" si="34"/>
        <v>-42900</v>
      </c>
      <c r="M38" s="41">
        <f t="shared" si="34"/>
        <v>49000</v>
      </c>
      <c r="N38" s="41">
        <f t="shared" si="34"/>
        <v>158800</v>
      </c>
      <c r="O38" s="41">
        <f t="shared" si="34"/>
        <v>234100</v>
      </c>
      <c r="P38" s="41">
        <f t="shared" si="34"/>
        <v>229900</v>
      </c>
      <c r="Q38" s="41">
        <f t="shared" si="34"/>
        <v>130000</v>
      </c>
      <c r="R38" s="41">
        <f t="shared" si="34"/>
        <v>358600</v>
      </c>
      <c r="S38" s="41">
        <f t="shared" si="34"/>
        <v>343792.1156222224</v>
      </c>
      <c r="T38" s="41">
        <f t="shared" si="34"/>
        <v>196867.2535338737</v>
      </c>
      <c r="U38" s="41">
        <f t="shared" si="34"/>
        <v>245494.3225311227</v>
      </c>
      <c r="V38" s="41">
        <f t="shared" si="34"/>
        <v>252203.4824680537</v>
      </c>
      <c r="W38" s="41">
        <f t="shared" si="34"/>
        <v>309784.7687766738</v>
      </c>
      <c r="X38" s="41">
        <f t="shared" si="34"/>
        <v>122948.70715771616</v>
      </c>
      <c r="Y38" s="41">
        <f aca="true" t="shared" si="35" ref="Y38:AG38">Y37-X37</f>
        <v>167854.98715461418</v>
      </c>
      <c r="Z38" s="41">
        <f t="shared" si="35"/>
        <v>269578.8235666156</v>
      </c>
      <c r="AA38" s="41">
        <f t="shared" si="35"/>
        <v>287733.6069800034</v>
      </c>
      <c r="AB38" s="41">
        <f t="shared" si="35"/>
        <v>149111.5752752684</v>
      </c>
      <c r="AC38" s="41">
        <f t="shared" si="35"/>
        <v>159168.5254976265</v>
      </c>
      <c r="AD38" s="41">
        <f t="shared" si="35"/>
        <v>259788.82926015928</v>
      </c>
      <c r="AE38" s="41">
        <f t="shared" si="35"/>
        <v>214721.4708439745</v>
      </c>
      <c r="AF38" s="41">
        <f t="shared" si="35"/>
        <v>126212.4902533479</v>
      </c>
      <c r="AG38" s="41">
        <f t="shared" si="35"/>
        <v>194222.0239405334</v>
      </c>
      <c r="AH38" s="41">
        <f aca="true" t="shared" si="36" ref="AH38:AN38">AH37-AG37</f>
        <v>298622.18598407134</v>
      </c>
      <c r="AI38" s="41">
        <f t="shared" si="36"/>
        <v>272229.41848357394</v>
      </c>
      <c r="AJ38" s="41">
        <f t="shared" si="36"/>
        <v>166683.38712338358</v>
      </c>
      <c r="AK38" s="41">
        <f t="shared" si="36"/>
        <v>221367.54289717972</v>
      </c>
      <c r="AL38" s="41">
        <f t="shared" si="36"/>
        <v>257234.05529885367</v>
      </c>
      <c r="AM38" s="41">
        <f t="shared" si="36"/>
        <v>31751.088727217168</v>
      </c>
      <c r="AN38" s="41">
        <f t="shared" si="36"/>
        <v>193852.0605525449</v>
      </c>
      <c r="AO38" s="31"/>
    </row>
    <row r="39" spans="1:41" ht="15">
      <c r="A39" s="46" t="s">
        <v>27</v>
      </c>
      <c r="B39" s="41">
        <v>-616000</v>
      </c>
      <c r="C39" s="41">
        <f aca="true" t="shared" si="37" ref="C39:AH39">C34-B34</f>
        <v>-421000</v>
      </c>
      <c r="D39" s="41">
        <f t="shared" si="37"/>
        <v>-230000</v>
      </c>
      <c r="E39" s="41">
        <f t="shared" si="37"/>
        <v>-210000</v>
      </c>
      <c r="F39" s="41">
        <f t="shared" si="37"/>
        <v>-190000</v>
      </c>
      <c r="G39" s="41">
        <f t="shared" si="37"/>
        <v>-170000</v>
      </c>
      <c r="H39" s="41">
        <f t="shared" si="37"/>
        <v>-160000</v>
      </c>
      <c r="I39" s="41">
        <f t="shared" si="37"/>
        <v>-140000</v>
      </c>
      <c r="J39" s="41">
        <f t="shared" si="37"/>
        <v>-130000</v>
      </c>
      <c r="K39" s="34">
        <f t="shared" si="37"/>
        <v>-120000</v>
      </c>
      <c r="L39" s="34">
        <f t="shared" si="37"/>
        <v>-110000</v>
      </c>
      <c r="M39" s="34">
        <f t="shared" si="37"/>
        <v>-90000</v>
      </c>
      <c r="N39" s="34">
        <f t="shared" si="37"/>
        <v>-80000</v>
      </c>
      <c r="O39" s="34">
        <f t="shared" si="37"/>
        <v>-80000</v>
      </c>
      <c r="P39" s="34">
        <f t="shared" si="37"/>
        <v>0</v>
      </c>
      <c r="Q39" s="34">
        <f t="shared" si="37"/>
        <v>-80000</v>
      </c>
      <c r="R39" s="34">
        <f t="shared" si="37"/>
        <v>-40000</v>
      </c>
      <c r="S39" s="34">
        <f t="shared" si="37"/>
        <v>-40000</v>
      </c>
      <c r="T39" s="34">
        <f t="shared" si="37"/>
        <v>-40000</v>
      </c>
      <c r="U39" s="34">
        <f t="shared" si="37"/>
        <v>-40000</v>
      </c>
      <c r="V39" s="34">
        <f t="shared" si="37"/>
        <v>-40000</v>
      </c>
      <c r="W39" s="34">
        <f t="shared" si="37"/>
        <v>-40000</v>
      </c>
      <c r="X39" s="34">
        <f t="shared" si="37"/>
        <v>-40000</v>
      </c>
      <c r="Y39" s="34">
        <f t="shared" si="37"/>
        <v>-40000</v>
      </c>
      <c r="Z39" s="34">
        <f t="shared" si="37"/>
        <v>-40000</v>
      </c>
      <c r="AA39" s="34">
        <f t="shared" si="37"/>
        <v>-40000</v>
      </c>
      <c r="AB39" s="34">
        <f t="shared" si="37"/>
        <v>-40000</v>
      </c>
      <c r="AC39" s="34">
        <f t="shared" si="37"/>
        <v>-40000</v>
      </c>
      <c r="AD39" s="34">
        <f t="shared" si="37"/>
        <v>-40000</v>
      </c>
      <c r="AE39" s="34">
        <f t="shared" si="37"/>
        <v>-40000</v>
      </c>
      <c r="AF39" s="34">
        <f t="shared" si="37"/>
        <v>-40000</v>
      </c>
      <c r="AG39" s="34">
        <f t="shared" si="37"/>
        <v>-40000</v>
      </c>
      <c r="AH39" s="34">
        <f t="shared" si="37"/>
        <v>-40000</v>
      </c>
      <c r="AI39" s="34">
        <f aca="true" t="shared" si="38" ref="AI39:AN39">AI34-AH34</f>
        <v>-10000</v>
      </c>
      <c r="AJ39" s="34">
        <f t="shared" si="38"/>
        <v>0</v>
      </c>
      <c r="AK39" s="34">
        <f t="shared" si="38"/>
        <v>0</v>
      </c>
      <c r="AL39" s="34">
        <f t="shared" si="38"/>
        <v>0</v>
      </c>
      <c r="AM39" s="34">
        <f t="shared" si="38"/>
        <v>0</v>
      </c>
      <c r="AN39" s="34">
        <f t="shared" si="38"/>
        <v>0</v>
      </c>
      <c r="AO39" s="31"/>
    </row>
    <row r="40" spans="1:41" ht="15">
      <c r="A40" s="46" t="s">
        <v>28</v>
      </c>
      <c r="B40" s="41">
        <v>801700</v>
      </c>
      <c r="C40" s="41">
        <f aca="true" t="shared" si="39" ref="C40:AH40">C10-B10</f>
        <v>815800</v>
      </c>
      <c r="D40" s="41">
        <f t="shared" si="39"/>
        <v>340500</v>
      </c>
      <c r="E40" s="41">
        <f t="shared" si="39"/>
        <v>545200</v>
      </c>
      <c r="F40" s="41">
        <f t="shared" si="39"/>
        <v>590800</v>
      </c>
      <c r="G40" s="41">
        <f t="shared" si="39"/>
        <v>560400</v>
      </c>
      <c r="H40" s="41">
        <f t="shared" si="39"/>
        <v>364100</v>
      </c>
      <c r="I40" s="41">
        <f t="shared" si="39"/>
        <v>321300</v>
      </c>
      <c r="J40" s="41">
        <f t="shared" si="39"/>
        <v>278100</v>
      </c>
      <c r="K40" s="41">
        <f t="shared" si="39"/>
        <v>238300</v>
      </c>
      <c r="L40" s="34">
        <f t="shared" si="39"/>
        <v>147100</v>
      </c>
      <c r="M40" s="34">
        <f t="shared" si="39"/>
        <v>179000</v>
      </c>
      <c r="N40" s="34">
        <f t="shared" si="39"/>
        <v>278800</v>
      </c>
      <c r="O40" s="34">
        <f t="shared" si="39"/>
        <v>354100</v>
      </c>
      <c r="P40" s="34">
        <f t="shared" si="39"/>
        <v>269900</v>
      </c>
      <c r="Q40" s="34">
        <f t="shared" si="39"/>
        <v>230000</v>
      </c>
      <c r="R40" s="34">
        <f t="shared" si="39"/>
        <v>398600</v>
      </c>
      <c r="S40" s="34">
        <f t="shared" si="39"/>
        <v>301500</v>
      </c>
      <c r="T40" s="34">
        <f t="shared" si="39"/>
        <v>239100</v>
      </c>
      <c r="U40" s="34">
        <f t="shared" si="39"/>
        <v>287700</v>
      </c>
      <c r="V40" s="34">
        <f t="shared" si="39"/>
        <v>294300</v>
      </c>
      <c r="W40" s="34">
        <f t="shared" si="39"/>
        <v>352000</v>
      </c>
      <c r="X40" s="34">
        <f t="shared" si="39"/>
        <v>162700</v>
      </c>
      <c r="Y40" s="34">
        <f t="shared" si="39"/>
        <v>207600</v>
      </c>
      <c r="Z40" s="34">
        <f t="shared" si="39"/>
        <v>309800</v>
      </c>
      <c r="AA40" s="34">
        <f t="shared" si="39"/>
        <v>328150</v>
      </c>
      <c r="AB40" s="34">
        <f t="shared" si="39"/>
        <v>188370</v>
      </c>
      <c r="AC40" s="34">
        <f t="shared" si="39"/>
        <v>197600</v>
      </c>
      <c r="AD40" s="34">
        <f t="shared" si="39"/>
        <v>299080</v>
      </c>
      <c r="AE40" s="34">
        <f t="shared" si="39"/>
        <v>253400</v>
      </c>
      <c r="AF40" s="34">
        <f t="shared" si="39"/>
        <v>164250</v>
      </c>
      <c r="AG40" s="34">
        <f t="shared" si="39"/>
        <v>232500</v>
      </c>
      <c r="AH40" s="34">
        <f t="shared" si="39"/>
        <v>337450</v>
      </c>
      <c r="AI40" s="34">
        <f aca="true" t="shared" si="40" ref="AI40:AN40">AI10-AH10</f>
        <v>280000</v>
      </c>
      <c r="AJ40" s="34">
        <f t="shared" si="40"/>
        <v>163960</v>
      </c>
      <c r="AK40" s="34">
        <f t="shared" si="40"/>
        <v>218540</v>
      </c>
      <c r="AL40" s="34">
        <f t="shared" si="40"/>
        <v>253700</v>
      </c>
      <c r="AM40" s="34">
        <f t="shared" si="40"/>
        <v>27300</v>
      </c>
      <c r="AN40" s="34">
        <f t="shared" si="40"/>
        <v>191000</v>
      </c>
      <c r="AO40" s="31"/>
    </row>
    <row r="41" spans="1:40" ht="15">
      <c r="A41" s="35"/>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row>
    <row r="42" spans="1:41" ht="30.75" customHeight="1">
      <c r="A42" s="37" t="s">
        <v>93</v>
      </c>
      <c r="B42" s="38" t="s">
        <v>3</v>
      </c>
      <c r="C42" s="38" t="s">
        <v>4</v>
      </c>
      <c r="D42" s="38" t="s">
        <v>5</v>
      </c>
      <c r="E42" s="38" t="s">
        <v>6</v>
      </c>
      <c r="F42" s="38" t="s">
        <v>7</v>
      </c>
      <c r="G42" s="38" t="s">
        <v>8</v>
      </c>
      <c r="H42" s="38" t="s">
        <v>9</v>
      </c>
      <c r="I42" s="38" t="s">
        <v>10</v>
      </c>
      <c r="J42" s="38" t="s">
        <v>43</v>
      </c>
      <c r="K42" s="38" t="s">
        <v>45</v>
      </c>
      <c r="L42" s="38" t="s">
        <v>46</v>
      </c>
      <c r="M42" s="38" t="s">
        <v>50</v>
      </c>
      <c r="N42" s="38" t="s">
        <v>53</v>
      </c>
      <c r="O42" s="38" t="s">
        <v>58</v>
      </c>
      <c r="P42" s="38" t="s">
        <v>59</v>
      </c>
      <c r="Q42" s="38" t="s">
        <v>60</v>
      </c>
      <c r="R42" s="38" t="s">
        <v>61</v>
      </c>
      <c r="S42" s="38" t="s">
        <v>62</v>
      </c>
      <c r="T42" s="38" t="s">
        <v>63</v>
      </c>
      <c r="U42" s="38" t="s">
        <v>65</v>
      </c>
      <c r="V42" s="38" t="s">
        <v>70</v>
      </c>
      <c r="W42" s="38" t="s">
        <v>74</v>
      </c>
      <c r="X42" s="38" t="s">
        <v>79</v>
      </c>
      <c r="Y42" s="38" t="s">
        <v>82</v>
      </c>
      <c r="Z42" s="38" t="s">
        <v>102</v>
      </c>
      <c r="AA42" s="38" t="s">
        <v>104</v>
      </c>
      <c r="AB42" s="38" t="s">
        <v>108</v>
      </c>
      <c r="AC42" s="38" t="s">
        <v>111</v>
      </c>
      <c r="AD42" s="38" t="s">
        <v>112</v>
      </c>
      <c r="AE42" s="38" t="s">
        <v>113</v>
      </c>
      <c r="AF42" s="38" t="s">
        <v>119</v>
      </c>
      <c r="AG42" s="38" t="s">
        <v>129</v>
      </c>
      <c r="AH42" s="38" t="s">
        <v>135</v>
      </c>
      <c r="AI42" s="38" t="s">
        <v>136</v>
      </c>
      <c r="AJ42" s="38" t="s">
        <v>142</v>
      </c>
      <c r="AK42" s="38" t="s">
        <v>143</v>
      </c>
      <c r="AL42" s="38" t="s">
        <v>147</v>
      </c>
      <c r="AM42" s="38" t="s">
        <v>150</v>
      </c>
      <c r="AN42" s="38" t="s">
        <v>162</v>
      </c>
      <c r="AO42" s="38" t="s">
        <v>163</v>
      </c>
    </row>
    <row r="43" spans="1:42" ht="15">
      <c r="A43" s="31" t="s">
        <v>21</v>
      </c>
      <c r="B43" s="34">
        <v>25825000</v>
      </c>
      <c r="C43" s="34">
        <v>25862500</v>
      </c>
      <c r="D43" s="34">
        <v>25900000</v>
      </c>
      <c r="E43" s="34">
        <v>25937500</v>
      </c>
      <c r="F43" s="34">
        <v>25975000</v>
      </c>
      <c r="G43" s="34">
        <v>26012500</v>
      </c>
      <c r="H43" s="41">
        <v>26050000</v>
      </c>
      <c r="I43" s="34">
        <v>26104000</v>
      </c>
      <c r="J43" s="34">
        <v>26158000</v>
      </c>
      <c r="K43" s="34">
        <v>26212000</v>
      </c>
      <c r="L43" s="34">
        <v>26266000</v>
      </c>
      <c r="M43" s="34">
        <v>26320000</v>
      </c>
      <c r="N43" s="34">
        <v>26374000</v>
      </c>
      <c r="O43" s="34">
        <v>26428000</v>
      </c>
      <c r="P43" s="34">
        <v>26482000</v>
      </c>
      <c r="Q43" s="34">
        <v>26536000</v>
      </c>
      <c r="R43" s="34">
        <v>26590000</v>
      </c>
      <c r="S43" s="34">
        <v>26635000</v>
      </c>
      <c r="T43" s="34">
        <v>26680000</v>
      </c>
      <c r="U43" s="34">
        <v>26725000</v>
      </c>
      <c r="V43" s="34">
        <v>26770000</v>
      </c>
      <c r="W43" s="34">
        <v>26860000</v>
      </c>
      <c r="X43" s="34">
        <v>26950000</v>
      </c>
      <c r="Y43" s="34">
        <v>27044000</v>
      </c>
      <c r="Z43" s="34">
        <v>27138000</v>
      </c>
      <c r="AA43" s="34">
        <v>27206500</v>
      </c>
      <c r="AB43" s="34">
        <v>27275000</v>
      </c>
      <c r="AC43" s="86">
        <v>27343500</v>
      </c>
      <c r="AD43" s="86">
        <v>27412000</v>
      </c>
      <c r="AE43" s="86">
        <v>27485000</v>
      </c>
      <c r="AF43" s="86">
        <v>27558000</v>
      </c>
      <c r="AG43" s="86">
        <v>27631500</v>
      </c>
      <c r="AH43" s="86">
        <v>27705000</v>
      </c>
      <c r="AI43" s="86">
        <v>27778000</v>
      </c>
      <c r="AJ43" s="86">
        <v>27851000</v>
      </c>
      <c r="AK43" s="86">
        <v>27924000</v>
      </c>
      <c r="AL43" s="86">
        <v>27997000</v>
      </c>
      <c r="AM43" s="86">
        <v>28070500</v>
      </c>
      <c r="AN43" s="86">
        <v>28144000</v>
      </c>
      <c r="AO43" s="31" t="s">
        <v>52</v>
      </c>
      <c r="AP43" s="127"/>
    </row>
    <row r="44" spans="1:41" ht="15">
      <c r="A44" s="46" t="s">
        <v>24</v>
      </c>
      <c r="B44" s="47">
        <f aca="true" t="shared" si="41" ref="B44:K44">B10/B43</f>
        <v>0.4575643756050339</v>
      </c>
      <c r="C44" s="47">
        <f t="shared" si="41"/>
        <v>0.4884446592556791</v>
      </c>
      <c r="D44" s="47">
        <f t="shared" si="41"/>
        <v>0.5008841698841698</v>
      </c>
      <c r="E44" s="47">
        <f t="shared" si="41"/>
        <v>0.5211797590361446</v>
      </c>
      <c r="F44" s="47">
        <f t="shared" si="41"/>
        <v>0.543172281039461</v>
      </c>
      <c r="G44" s="47">
        <f t="shared" si="41"/>
        <v>0.5639327246516098</v>
      </c>
      <c r="H44" s="47">
        <f t="shared" si="41"/>
        <v>0.5770978886756238</v>
      </c>
      <c r="I44" s="47">
        <f t="shared" si="41"/>
        <v>0.5882125344774747</v>
      </c>
      <c r="J44" s="47">
        <f t="shared" si="41"/>
        <v>0.5976297882101078</v>
      </c>
      <c r="K44" s="47">
        <f t="shared" si="41"/>
        <v>0.6054898519761941</v>
      </c>
      <c r="L44" s="47">
        <f aca="true" t="shared" si="42" ref="L44:X44">L36/L43</f>
        <v>0.6067996649661159</v>
      </c>
      <c r="M44" s="47">
        <f t="shared" si="42"/>
        <v>0.6108358662613982</v>
      </c>
      <c r="N44" s="47">
        <f t="shared" si="42"/>
        <v>0.6186395692727686</v>
      </c>
      <c r="O44" s="47">
        <f t="shared" si="42"/>
        <v>0.6292606326623278</v>
      </c>
      <c r="P44" s="47">
        <f t="shared" si="42"/>
        <v>0.6366588626236689</v>
      </c>
      <c r="Q44" s="47">
        <f t="shared" si="42"/>
        <v>0.6432770575821526</v>
      </c>
      <c r="R44" s="47">
        <f t="shared" si="42"/>
        <v>0.6569612636329447</v>
      </c>
      <c r="S44" s="47">
        <f t="shared" si="42"/>
        <v>0.6702606388444612</v>
      </c>
      <c r="T44" s="47">
        <f t="shared" si="42"/>
        <v>0.6780082222322374</v>
      </c>
      <c r="U44" s="47">
        <f t="shared" si="42"/>
        <v>0.6875492494550877</v>
      </c>
      <c r="V44" s="47">
        <f t="shared" si="42"/>
        <v>0.6973088223442387</v>
      </c>
      <c r="W44" s="47">
        <f t="shared" si="42"/>
        <v>0.7079948601240487</v>
      </c>
      <c r="X44" s="47">
        <f t="shared" si="42"/>
        <v>0.7116768330274458</v>
      </c>
      <c r="Y44" s="47">
        <f aca="true" t="shared" si="43" ref="Y44:AF44">Y36/Y43</f>
        <v>0.7168889822971556</v>
      </c>
      <c r="Z44" s="47">
        <f t="shared" si="43"/>
        <v>0.725813415167326</v>
      </c>
      <c r="AA44" s="47">
        <f t="shared" si="43"/>
        <v>0.7360321271678053</v>
      </c>
      <c r="AB44" s="47">
        <f t="shared" si="43"/>
        <v>0.74111712715183</v>
      </c>
      <c r="AC44" s="47">
        <f t="shared" si="43"/>
        <v>0.74654444999959</v>
      </c>
      <c r="AD44" s="47">
        <f t="shared" si="43"/>
        <v>0.7556153143814369</v>
      </c>
      <c r="AE44" s="47">
        <f t="shared" si="43"/>
        <v>0.7628760585289404</v>
      </c>
      <c r="AF44" s="47">
        <f t="shared" si="43"/>
        <v>0.7668866013107364</v>
      </c>
      <c r="AG44" s="47">
        <f aca="true" t="shared" si="44" ref="AG44:AL44">AG36/AG43</f>
        <v>0.7733233079225451</v>
      </c>
      <c r="AH44" s="47">
        <f t="shared" si="44"/>
        <v>0.7834941407271567</v>
      </c>
      <c r="AI44" s="47">
        <f t="shared" si="44"/>
        <v>0.7915953123813612</v>
      </c>
      <c r="AJ44" s="47">
        <f t="shared" si="44"/>
        <v>0.7955052951223595</v>
      </c>
      <c r="AK44" s="47">
        <f t="shared" si="44"/>
        <v>0.8013531556134513</v>
      </c>
      <c r="AL44" s="47">
        <f t="shared" si="44"/>
        <v>0.808451604552233</v>
      </c>
      <c r="AM44" s="47">
        <f>AM36/AM43</f>
        <v>0.8074658684874186</v>
      </c>
      <c r="AN44" s="47">
        <f>AN36/AN43</f>
        <v>0.8122449801708581</v>
      </c>
      <c r="AO44" s="31"/>
    </row>
    <row r="45" spans="1:53" s="48" customFormat="1" ht="15">
      <c r="A45" s="46" t="s">
        <v>25</v>
      </c>
      <c r="B45" s="47">
        <f aca="true" t="shared" si="45" ref="B45:AF45">B34/B43</f>
        <v>0.11233301064859633</v>
      </c>
      <c r="C45" s="47">
        <f t="shared" si="45"/>
        <v>0.09589173513774771</v>
      </c>
      <c r="D45" s="47">
        <f t="shared" si="45"/>
        <v>0.08687258687258688</v>
      </c>
      <c r="E45" s="47">
        <f t="shared" si="45"/>
        <v>0.07865060240963856</v>
      </c>
      <c r="F45" s="47">
        <f t="shared" si="45"/>
        <v>0.0712223291626564</v>
      </c>
      <c r="G45" s="47">
        <f t="shared" si="45"/>
        <v>0.06458433445458914</v>
      </c>
      <c r="H45" s="47">
        <f t="shared" si="45"/>
        <v>0.058349328214971206</v>
      </c>
      <c r="I45" s="47">
        <f t="shared" si="45"/>
        <v>0.0528654612319951</v>
      </c>
      <c r="J45" s="47">
        <f t="shared" si="45"/>
        <v>0.04778652802202003</v>
      </c>
      <c r="K45" s="47">
        <f t="shared" si="45"/>
        <v>0.0431100259423165</v>
      </c>
      <c r="L45" s="47">
        <f t="shared" si="45"/>
        <v>0.03883347293078505</v>
      </c>
      <c r="M45" s="47">
        <f t="shared" si="45"/>
        <v>0.03533434650455927</v>
      </c>
      <c r="N45" s="47">
        <f t="shared" si="45"/>
        <v>0.03222871009327368</v>
      </c>
      <c r="O45" s="47">
        <f t="shared" si="45"/>
        <v>0.029135765097623733</v>
      </c>
      <c r="P45" s="47">
        <f t="shared" si="45"/>
        <v>0.029076353749716788</v>
      </c>
      <c r="Q45" s="47">
        <f t="shared" si="45"/>
        <v>0.026002411817907748</v>
      </c>
      <c r="R45" s="47">
        <f t="shared" si="45"/>
        <v>0.024445280180518992</v>
      </c>
      <c r="S45" s="47">
        <f t="shared" si="45"/>
        <v>0.022902196358175333</v>
      </c>
      <c r="T45" s="47">
        <f t="shared" si="45"/>
        <v>0.02136431784107946</v>
      </c>
      <c r="U45" s="47">
        <f t="shared" si="45"/>
        <v>0.01983161833489242</v>
      </c>
      <c r="V45" s="47">
        <f t="shared" si="45"/>
        <v>0.018304071722076952</v>
      </c>
      <c r="W45" s="47">
        <f t="shared" si="45"/>
        <v>0.01675353685778109</v>
      </c>
      <c r="X45" s="47">
        <f t="shared" si="45"/>
        <v>0.015213358070500928</v>
      </c>
      <c r="Y45" s="47">
        <f t="shared" si="45"/>
        <v>0.013681408075728442</v>
      </c>
      <c r="Z45" s="47">
        <f t="shared" si="45"/>
        <v>0.012160070749502542</v>
      </c>
      <c r="AA45" s="47">
        <f t="shared" si="45"/>
        <v>0.010659217466414276</v>
      </c>
      <c r="AB45" s="47">
        <f t="shared" si="45"/>
        <v>0.00916590284142988</v>
      </c>
      <c r="AC45" s="47">
        <f t="shared" si="45"/>
        <v>0.007680070217784848</v>
      </c>
      <c r="AD45" s="47">
        <f t="shared" si="45"/>
        <v>0.006201663505034292</v>
      </c>
      <c r="AE45" s="47">
        <f t="shared" si="45"/>
        <v>0.004729852646898308</v>
      </c>
      <c r="AF45" s="47">
        <f t="shared" si="45"/>
        <v>0.0032658393207054214</v>
      </c>
      <c r="AG45" s="47">
        <f aca="true" t="shared" si="46" ref="AG45:AN45">AG34/AG43</f>
        <v>0.0018095289796066084</v>
      </c>
      <c r="AH45" s="47">
        <f t="shared" si="46"/>
        <v>0.00036094567767550983</v>
      </c>
      <c r="AI45" s="47">
        <f t="shared" si="46"/>
        <v>0</v>
      </c>
      <c r="AJ45" s="47">
        <f t="shared" si="46"/>
        <v>0</v>
      </c>
      <c r="AK45" s="47">
        <f t="shared" si="46"/>
        <v>0</v>
      </c>
      <c r="AL45" s="47">
        <f t="shared" si="46"/>
        <v>0</v>
      </c>
      <c r="AM45" s="47">
        <f t="shared" si="46"/>
        <v>0</v>
      </c>
      <c r="AN45" s="47">
        <f t="shared" si="46"/>
        <v>0</v>
      </c>
      <c r="AO45" s="31"/>
      <c r="AP45" s="16"/>
      <c r="AQ45" s="16"/>
      <c r="AR45" s="16"/>
      <c r="AS45" s="16"/>
      <c r="AT45" s="16"/>
      <c r="AU45" s="16"/>
      <c r="AV45" s="16"/>
      <c r="AW45" s="16"/>
      <c r="AX45" s="16"/>
      <c r="AY45" s="16"/>
      <c r="AZ45" s="16"/>
      <c r="BA45" s="16"/>
    </row>
    <row r="46" spans="1:53" s="48" customFormat="1" ht="15">
      <c r="A46" s="46" t="s">
        <v>96</v>
      </c>
      <c r="B46" s="47">
        <f aca="true" t="shared" si="47" ref="B46:X46">B44+B45</f>
        <v>0.5698973862536302</v>
      </c>
      <c r="C46" s="47">
        <f t="shared" si="47"/>
        <v>0.5843363943934268</v>
      </c>
      <c r="D46" s="47">
        <f t="shared" si="47"/>
        <v>0.5877567567567568</v>
      </c>
      <c r="E46" s="47">
        <f t="shared" si="47"/>
        <v>0.5998303614457832</v>
      </c>
      <c r="F46" s="47">
        <f t="shared" si="47"/>
        <v>0.6143946102021174</v>
      </c>
      <c r="G46" s="47">
        <f t="shared" si="47"/>
        <v>0.6285170591061989</v>
      </c>
      <c r="H46" s="47">
        <f t="shared" si="47"/>
        <v>0.635447216890595</v>
      </c>
      <c r="I46" s="47">
        <f t="shared" si="47"/>
        <v>0.6410779957094698</v>
      </c>
      <c r="J46" s="47">
        <f t="shared" si="47"/>
        <v>0.6454163162321278</v>
      </c>
      <c r="K46" s="47">
        <f t="shared" si="47"/>
        <v>0.6485998779185106</v>
      </c>
      <c r="L46" s="47">
        <f t="shared" si="47"/>
        <v>0.645633137896901</v>
      </c>
      <c r="M46" s="47">
        <f t="shared" si="47"/>
        <v>0.6461702127659574</v>
      </c>
      <c r="N46" s="47">
        <f t="shared" si="47"/>
        <v>0.6508682793660423</v>
      </c>
      <c r="O46" s="47">
        <f t="shared" si="47"/>
        <v>0.6583963977599515</v>
      </c>
      <c r="P46" s="47">
        <f t="shared" si="47"/>
        <v>0.6657352163733856</v>
      </c>
      <c r="Q46" s="47">
        <f t="shared" si="47"/>
        <v>0.6692794694000603</v>
      </c>
      <c r="R46" s="47">
        <f t="shared" si="47"/>
        <v>0.6814065438134637</v>
      </c>
      <c r="S46" s="47">
        <f t="shared" si="47"/>
        <v>0.6931628352026366</v>
      </c>
      <c r="T46" s="47">
        <f t="shared" si="47"/>
        <v>0.699372540073317</v>
      </c>
      <c r="U46" s="47">
        <f t="shared" si="47"/>
        <v>0.7073808677899801</v>
      </c>
      <c r="V46" s="47">
        <f t="shared" si="47"/>
        <v>0.7156128940663157</v>
      </c>
      <c r="W46" s="47">
        <f t="shared" si="47"/>
        <v>0.7247483969818298</v>
      </c>
      <c r="X46" s="47">
        <f t="shared" si="47"/>
        <v>0.7268901910979467</v>
      </c>
      <c r="Y46" s="47">
        <f aca="true" t="shared" si="48" ref="Y46:AF46">Y44+Y45</f>
        <v>0.7305703903728841</v>
      </c>
      <c r="Z46" s="47">
        <f t="shared" si="48"/>
        <v>0.7379734859168285</v>
      </c>
      <c r="AA46" s="47">
        <f t="shared" si="48"/>
        <v>0.7466913446342196</v>
      </c>
      <c r="AB46" s="47">
        <f t="shared" si="48"/>
        <v>0.7502830299932599</v>
      </c>
      <c r="AC46" s="47">
        <f t="shared" si="48"/>
        <v>0.7542245202173748</v>
      </c>
      <c r="AD46" s="47">
        <f t="shared" si="48"/>
        <v>0.7618169778864712</v>
      </c>
      <c r="AE46" s="47">
        <f t="shared" si="48"/>
        <v>0.7676059111758387</v>
      </c>
      <c r="AF46" s="47">
        <f t="shared" si="48"/>
        <v>0.7701524406314418</v>
      </c>
      <c r="AG46" s="47">
        <f aca="true" t="shared" si="49" ref="AG46:AN46">AG44+AG45</f>
        <v>0.7751328369021517</v>
      </c>
      <c r="AH46" s="47">
        <f t="shared" si="49"/>
        <v>0.7838550864048323</v>
      </c>
      <c r="AI46" s="47">
        <f t="shared" si="49"/>
        <v>0.7915953123813612</v>
      </c>
      <c r="AJ46" s="47">
        <f t="shared" si="49"/>
        <v>0.7955052951223595</v>
      </c>
      <c r="AK46" s="47">
        <f t="shared" si="49"/>
        <v>0.8013531556134513</v>
      </c>
      <c r="AL46" s="47">
        <f t="shared" si="49"/>
        <v>0.808451604552233</v>
      </c>
      <c r="AM46" s="47">
        <f t="shared" si="49"/>
        <v>0.8074658684874186</v>
      </c>
      <c r="AN46" s="47">
        <f t="shared" si="49"/>
        <v>0.8122449801708581</v>
      </c>
      <c r="AO46" s="31"/>
      <c r="AP46" s="16"/>
      <c r="AQ46" s="16"/>
      <c r="AR46" s="16"/>
      <c r="AS46" s="16"/>
      <c r="AT46" s="16"/>
      <c r="AU46" s="16"/>
      <c r="AV46" s="16"/>
      <c r="AW46" s="16"/>
      <c r="AX46" s="16"/>
      <c r="AY46" s="16"/>
      <c r="AZ46" s="16"/>
      <c r="BA46" s="16"/>
    </row>
    <row r="47" spans="1:40" ht="15">
      <c r="A47" s="3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row>
    <row r="48" spans="1:41" ht="27.75" customHeight="1">
      <c r="A48" s="37" t="s">
        <v>94</v>
      </c>
      <c r="B48" s="38" t="s">
        <v>3</v>
      </c>
      <c r="C48" s="38" t="s">
        <v>4</v>
      </c>
      <c r="D48" s="38" t="s">
        <v>5</v>
      </c>
      <c r="E48" s="38" t="s">
        <v>6</v>
      </c>
      <c r="F48" s="38" t="s">
        <v>7</v>
      </c>
      <c r="G48" s="38" t="s">
        <v>8</v>
      </c>
      <c r="H48" s="38" t="s">
        <v>9</v>
      </c>
      <c r="I48" s="38" t="s">
        <v>10</v>
      </c>
      <c r="J48" s="38" t="s">
        <v>43</v>
      </c>
      <c r="K48" s="38" t="s">
        <v>45</v>
      </c>
      <c r="L48" s="38" t="s">
        <v>46</v>
      </c>
      <c r="M48" s="38" t="s">
        <v>50</v>
      </c>
      <c r="N48" s="38" t="s">
        <v>53</v>
      </c>
      <c r="O48" s="38" t="s">
        <v>58</v>
      </c>
      <c r="P48" s="38" t="s">
        <v>59</v>
      </c>
      <c r="Q48" s="38" t="s">
        <v>60</v>
      </c>
      <c r="R48" s="38" t="s">
        <v>61</v>
      </c>
      <c r="S48" s="38" t="s">
        <v>62</v>
      </c>
      <c r="T48" s="38" t="s">
        <v>63</v>
      </c>
      <c r="U48" s="38" t="s">
        <v>65</v>
      </c>
      <c r="V48" s="38" t="s">
        <v>70</v>
      </c>
      <c r="W48" s="38" t="s">
        <v>74</v>
      </c>
      <c r="X48" s="38" t="s">
        <v>79</v>
      </c>
      <c r="Y48" s="38" t="s">
        <v>82</v>
      </c>
      <c r="Z48" s="38" t="s">
        <v>102</v>
      </c>
      <c r="AA48" s="38" t="s">
        <v>104</v>
      </c>
      <c r="AB48" s="38" t="s">
        <v>108</v>
      </c>
      <c r="AC48" s="38" t="s">
        <v>111</v>
      </c>
      <c r="AD48" s="38" t="s">
        <v>112</v>
      </c>
      <c r="AE48" s="38" t="s">
        <v>113</v>
      </c>
      <c r="AF48" s="38" t="s">
        <v>119</v>
      </c>
      <c r="AG48" s="38" t="s">
        <v>129</v>
      </c>
      <c r="AH48" s="38" t="s">
        <v>135</v>
      </c>
      <c r="AI48" s="38" t="s">
        <v>136</v>
      </c>
      <c r="AJ48" s="38" t="s">
        <v>142</v>
      </c>
      <c r="AK48" s="38" t="s">
        <v>143</v>
      </c>
      <c r="AL48" s="38" t="s">
        <v>147</v>
      </c>
      <c r="AM48" s="38" t="s">
        <v>150</v>
      </c>
      <c r="AN48" s="38" t="s">
        <v>162</v>
      </c>
      <c r="AO48" s="38" t="s">
        <v>163</v>
      </c>
    </row>
    <row r="49" spans="1:41" ht="15">
      <c r="A49" s="46" t="s">
        <v>40</v>
      </c>
      <c r="B49" s="47">
        <v>0.015208358760867654</v>
      </c>
      <c r="C49" s="47">
        <f aca="true" t="shared" si="50" ref="C49:Z49">(C46-B46)/(1-B46)</f>
        <v>0.03357107740877676</v>
      </c>
      <c r="D49" s="47">
        <f t="shared" si="50"/>
        <v>0.008228678953835016</v>
      </c>
      <c r="E49" s="47">
        <f t="shared" si="50"/>
        <v>0.029287574476757165</v>
      </c>
      <c r="F49" s="47">
        <f t="shared" si="50"/>
        <v>0.03639518682365251</v>
      </c>
      <c r="G49" s="47">
        <f t="shared" si="50"/>
        <v>0.036624096233416004</v>
      </c>
      <c r="H49" s="47">
        <f t="shared" si="50"/>
        <v>0.018655386348890992</v>
      </c>
      <c r="I49" s="47">
        <f t="shared" si="50"/>
        <v>0.01544571617544039</v>
      </c>
      <c r="J49" s="47">
        <f t="shared" si="50"/>
        <v>0.012087084299090148</v>
      </c>
      <c r="K49" s="47">
        <f t="shared" si="50"/>
        <v>0.008978308456141204</v>
      </c>
      <c r="L49" s="49">
        <f t="shared" si="50"/>
        <v>-0.008442626610475639</v>
      </c>
      <c r="M49" s="49">
        <f t="shared" si="50"/>
        <v>0.0015155899901841071</v>
      </c>
      <c r="N49" s="49">
        <f t="shared" si="50"/>
        <v>0.013277758881779251</v>
      </c>
      <c r="O49" s="49">
        <f t="shared" si="50"/>
        <v>0.021562401663875057</v>
      </c>
      <c r="P49" s="49">
        <f t="shared" si="50"/>
        <v>0.021483434499256365</v>
      </c>
      <c r="Q49" s="49">
        <f t="shared" si="50"/>
        <v>0.010603130213782171</v>
      </c>
      <c r="R49" s="49">
        <f t="shared" si="50"/>
        <v>0.03666864706404634</v>
      </c>
      <c r="S49" s="49">
        <f t="shared" si="50"/>
        <v>0.03690060533537634</v>
      </c>
      <c r="T49" s="49">
        <f t="shared" si="50"/>
        <v>0.02023778597609359</v>
      </c>
      <c r="U49" s="49">
        <f t="shared" si="50"/>
        <v>0.026638709978842996</v>
      </c>
      <c r="V49" s="49">
        <f t="shared" si="50"/>
        <v>0.028132221615732367</v>
      </c>
      <c r="W49" s="49">
        <f t="shared" si="50"/>
        <v>0.03212347791057875</v>
      </c>
      <c r="X49" s="49">
        <f t="shared" si="50"/>
        <v>0.007781223043324248</v>
      </c>
      <c r="Y49" s="49">
        <f t="shared" si="50"/>
        <v>0.013475163304212168</v>
      </c>
      <c r="Z49" s="49">
        <f t="shared" si="50"/>
        <v>0.027476918940684273</v>
      </c>
      <c r="AA49" s="49">
        <f aca="true" t="shared" si="51" ref="AA49:AF49">(AA46-Z46)/(1-Z46)</f>
        <v>0.03327090293856243</v>
      </c>
      <c r="AB49" s="49">
        <f t="shared" si="51"/>
        <v>0.014179086592417763</v>
      </c>
      <c r="AC49" s="49">
        <f t="shared" si="51"/>
        <v>0.015783830085750905</v>
      </c>
      <c r="AD49" s="49">
        <f t="shared" si="51"/>
        <v>0.03089184354684788</v>
      </c>
      <c r="AE49" s="49">
        <f t="shared" si="51"/>
        <v>0.02430455889760355</v>
      </c>
      <c r="AF49" s="49">
        <f t="shared" si="51"/>
        <v>0.010957806493649637</v>
      </c>
      <c r="AG49" s="49">
        <f aca="true" t="shared" si="52" ref="AG49:AN49">(AG46-AF46)/(1-AF46)</f>
        <v>0.021668258233379298</v>
      </c>
      <c r="AH49" s="49">
        <f t="shared" si="52"/>
        <v>0.038788453514153776</v>
      </c>
      <c r="AI49" s="49">
        <f t="shared" si="52"/>
        <v>0.035810354487573505</v>
      </c>
      <c r="AJ49" s="49">
        <f t="shared" si="52"/>
        <v>0.018761491335325436</v>
      </c>
      <c r="AK49" s="49">
        <f t="shared" si="52"/>
        <v>0.028596635275182018</v>
      </c>
      <c r="AL49" s="49">
        <f t="shared" si="52"/>
        <v>0.03573401309596798</v>
      </c>
      <c r="AM49" s="49">
        <f t="shared" si="52"/>
        <v>-0.005146146291176498</v>
      </c>
      <c r="AN49" s="49">
        <f t="shared" si="52"/>
        <v>0.02482215306914129</v>
      </c>
      <c r="AO49" s="31"/>
    </row>
    <row r="50" spans="1:41" ht="15">
      <c r="A50" s="46" t="s">
        <v>41</v>
      </c>
      <c r="B50" s="47">
        <v>0.031349236631574635</v>
      </c>
      <c r="C50" s="47">
        <v>0.049</v>
      </c>
      <c r="D50" s="47">
        <f aca="true" t="shared" si="53" ref="D50:AF50">(D46-B46)/(1-B46)</f>
        <v>0.04152351074448061</v>
      </c>
      <c r="E50" s="47">
        <f t="shared" si="53"/>
        <v>0.03727525538288642</v>
      </c>
      <c r="F50" s="47">
        <f t="shared" si="53"/>
        <v>0.06461683455571646</v>
      </c>
      <c r="G50" s="47">
        <f t="shared" si="53"/>
        <v>0.0716863422324059</v>
      </c>
      <c r="H50" s="47">
        <f t="shared" si="53"/>
        <v>0.054596245917393656</v>
      </c>
      <c r="I50" s="47">
        <f t="shared" si="53"/>
        <v>0.03381295672164323</v>
      </c>
      <c r="J50" s="47">
        <f t="shared" si="53"/>
        <v>0.02734610680105817</v>
      </c>
      <c r="K50" s="47">
        <f t="shared" si="53"/>
        <v>0.02095687118405874</v>
      </c>
      <c r="L50" s="49">
        <f t="shared" si="53"/>
        <v>0.0006114823515544406</v>
      </c>
      <c r="M50" s="49">
        <f t="shared" si="53"/>
        <v>-0.006914241059909833</v>
      </c>
      <c r="N50" s="49">
        <f t="shared" si="53"/>
        <v>0.014773225233510056</v>
      </c>
      <c r="O50" s="49">
        <f t="shared" si="53"/>
        <v>0.0345538601754493</v>
      </c>
      <c r="P50" s="49">
        <f t="shared" si="53"/>
        <v>0.042582601719338906</v>
      </c>
      <c r="Q50" s="49">
        <f t="shared" si="53"/>
        <v>0.03185877305960366</v>
      </c>
      <c r="R50" s="49">
        <f t="shared" si="53"/>
        <v>0.04688297483824521</v>
      </c>
      <c r="S50" s="49">
        <f t="shared" si="53"/>
        <v>0.0722161571259301</v>
      </c>
      <c r="T50" s="49">
        <f t="shared" si="53"/>
        <v>0.056391604758304285</v>
      </c>
      <c r="U50" s="49">
        <f t="shared" si="53"/>
        <v>0.04633738744370553</v>
      </c>
      <c r="V50" s="49">
        <f t="shared" si="53"/>
        <v>0.05402152550189333</v>
      </c>
      <c r="W50" s="49">
        <f t="shared" si="53"/>
        <v>0.05935199472666263</v>
      </c>
      <c r="X50" s="49">
        <f t="shared" si="53"/>
        <v>0.03965474100735348</v>
      </c>
      <c r="Y50" s="49">
        <f t="shared" si="53"/>
        <v>0.02115153309632112</v>
      </c>
      <c r="Z50" s="49">
        <f t="shared" si="53"/>
        <v>0.04058182627507412</v>
      </c>
      <c r="AA50" s="49">
        <f t="shared" si="53"/>
        <v>0.05983363997612044</v>
      </c>
      <c r="AB50" s="49">
        <f t="shared" si="53"/>
        <v>0.04697823851720639</v>
      </c>
      <c r="AC50" s="49">
        <f t="shared" si="53"/>
        <v>0.0297391163846228</v>
      </c>
      <c r="AD50" s="49">
        <f t="shared" si="53"/>
        <v>0.04618808202301974</v>
      </c>
      <c r="AE50" s="49">
        <f t="shared" si="53"/>
        <v>0.05444558981351152</v>
      </c>
      <c r="AF50" s="49">
        <f t="shared" si="53"/>
        <v>0.034996040737939736</v>
      </c>
      <c r="AG50" s="49">
        <f aca="true" t="shared" si="54" ref="AG50:AN50">(AG46-AE46)/(1-AE46)</f>
        <v>0.03238862814625313</v>
      </c>
      <c r="AH50" s="49">
        <f t="shared" si="54"/>
        <v>0.05961623352031496</v>
      </c>
      <c r="AI50" s="49">
        <f t="shared" si="54"/>
        <v>0.07320977973136067</v>
      </c>
      <c r="AJ50" s="49">
        <f t="shared" si="54"/>
        <v>0.0538999901674654</v>
      </c>
      <c r="AK50" s="49">
        <f t="shared" si="54"/>
        <v>0.046821611085572666</v>
      </c>
      <c r="AL50" s="49">
        <f t="shared" si="54"/>
        <v>0.06330877583172602</v>
      </c>
      <c r="AM50" s="49">
        <f t="shared" si="54"/>
        <v>0.030771759263754146</v>
      </c>
      <c r="AN50" s="49">
        <f t="shared" si="54"/>
        <v>0.01980374520892057</v>
      </c>
      <c r="AO50" s="31"/>
    </row>
    <row r="51" spans="1:41" ht="15">
      <c r="A51" s="46" t="s">
        <v>42</v>
      </c>
      <c r="B51" s="47">
        <v>0.08749828071822494</v>
      </c>
      <c r="C51" s="47">
        <v>0.07031119053296658</v>
      </c>
      <c r="D51" s="47">
        <v>0.05920728972857732</v>
      </c>
      <c r="E51" s="47">
        <v>0.0637113914799596</v>
      </c>
      <c r="F51" s="47">
        <f aca="true" t="shared" si="55" ref="F51:AF51">(F46-B46)/(1-B46)</f>
        <v>0.10345722747624846</v>
      </c>
      <c r="G51" s="47">
        <f t="shared" si="55"/>
        <v>0.10628947090111439</v>
      </c>
      <c r="H51" s="47">
        <f t="shared" si="55"/>
        <v>0.11568524388330267</v>
      </c>
      <c r="I51" s="47">
        <f t="shared" si="55"/>
        <v>0.10307537176661188</v>
      </c>
      <c r="J51" s="47">
        <f t="shared" si="55"/>
        <v>0.08044935794665795</v>
      </c>
      <c r="K51" s="47">
        <f t="shared" si="55"/>
        <v>0.054061214127334334</v>
      </c>
      <c r="L51" s="49">
        <f t="shared" si="55"/>
        <v>0.027940867490920042</v>
      </c>
      <c r="M51" s="49">
        <f t="shared" si="55"/>
        <v>0.014187530983376965</v>
      </c>
      <c r="N51" s="49">
        <f t="shared" si="55"/>
        <v>0.015375674018558666</v>
      </c>
      <c r="O51" s="49">
        <f t="shared" si="55"/>
        <v>0.027878532834342943</v>
      </c>
      <c r="P51" s="49">
        <f t="shared" si="55"/>
        <v>0.05672674458662031</v>
      </c>
      <c r="Q51" s="49">
        <f t="shared" si="55"/>
        <v>0.06531178964539004</v>
      </c>
      <c r="R51" s="49">
        <f t="shared" si="55"/>
        <v>0.08746917751262934</v>
      </c>
      <c r="S51" s="49">
        <f t="shared" si="55"/>
        <v>0.10177421202442208</v>
      </c>
      <c r="T51" s="49">
        <f t="shared" si="55"/>
        <v>0.10063077340957764</v>
      </c>
      <c r="U51" s="49">
        <f t="shared" si="55"/>
        <v>0.1152072365171959</v>
      </c>
      <c r="V51" s="49">
        <f t="shared" si="55"/>
        <v>0.10736676974565419</v>
      </c>
      <c r="W51" s="49">
        <f t="shared" si="55"/>
        <v>0.10293916579516203</v>
      </c>
      <c r="X51" s="49">
        <f t="shared" si="55"/>
        <v>0.0915340569066471</v>
      </c>
      <c r="Y51" s="49">
        <f t="shared" si="55"/>
        <v>0.07924814214219007</v>
      </c>
      <c r="Z51" s="49">
        <f t="shared" si="55"/>
        <v>0.07862730547188412</v>
      </c>
      <c r="AA51" s="49">
        <f t="shared" si="55"/>
        <v>0.0797195998562133</v>
      </c>
      <c r="AB51" s="49">
        <f t="shared" si="55"/>
        <v>0.08565360207806624</v>
      </c>
      <c r="AC51" s="49">
        <f t="shared" si="55"/>
        <v>0.08779335677777778</v>
      </c>
      <c r="AD51" s="49">
        <f t="shared" si="55"/>
        <v>0.0909964858062964</v>
      </c>
      <c r="AE51" s="49">
        <f t="shared" si="55"/>
        <v>0.08256554246604086</v>
      </c>
      <c r="AF51" s="49">
        <f t="shared" si="55"/>
        <v>0.07956772276087458</v>
      </c>
      <c r="AG51" s="49">
        <f aca="true" t="shared" si="56" ref="AG51:AN51">(AG46-AC46)/(1-AC46)</f>
        <v>0.0850707999970914</v>
      </c>
      <c r="AH51" s="49">
        <f t="shared" si="56"/>
        <v>0.09252594212133523</v>
      </c>
      <c r="AI51" s="49">
        <f t="shared" si="56"/>
        <v>0.10322724354522567</v>
      </c>
      <c r="AJ51" s="49">
        <f t="shared" si="56"/>
        <v>0.11030290928721406</v>
      </c>
      <c r="AK51" s="49">
        <f t="shared" si="56"/>
        <v>0.11660359098269113</v>
      </c>
      <c r="AL51" s="49">
        <f t="shared" si="56"/>
        <v>0.11379642360434712</v>
      </c>
      <c r="AM51" s="49">
        <f t="shared" si="56"/>
        <v>0.07615258700466045</v>
      </c>
      <c r="AN51" s="49">
        <f t="shared" si="56"/>
        <v>0.08185877017458643</v>
      </c>
      <c r="AO51" s="31"/>
    </row>
    <row r="52" spans="1:40" ht="15">
      <c r="A52" s="35"/>
      <c r="B52" s="24"/>
      <c r="C52" s="24"/>
      <c r="D52" s="24"/>
      <c r="E52" s="36"/>
      <c r="F52" s="36"/>
      <c r="G52" s="24"/>
      <c r="H52" s="24"/>
      <c r="Q52" s="35"/>
      <c r="R52" s="35"/>
      <c r="S52" s="35"/>
      <c r="T52" s="35"/>
      <c r="U52" s="35"/>
      <c r="V52" s="35"/>
      <c r="W52" s="35"/>
      <c r="X52" s="35"/>
      <c r="Y52" s="35"/>
      <c r="Z52" s="35"/>
      <c r="AA52" s="35"/>
      <c r="AB52" s="35"/>
      <c r="AC52" s="35"/>
      <c r="AD52" s="35"/>
      <c r="AE52" s="35"/>
      <c r="AF52" s="35"/>
      <c r="AG52" s="35"/>
      <c r="AH52" s="35"/>
      <c r="AI52" s="35"/>
      <c r="AJ52" s="35"/>
      <c r="AK52" s="35"/>
      <c r="AL52" s="35"/>
      <c r="AM52" s="35"/>
      <c r="AN52" s="35"/>
    </row>
    <row r="53" spans="1:40" ht="15">
      <c r="A53" s="50" t="s">
        <v>95</v>
      </c>
      <c r="B53" s="51"/>
      <c r="C53" s="51"/>
      <c r="D53" s="51"/>
      <c r="E53" s="24"/>
      <c r="F53" s="24"/>
      <c r="G53" s="24"/>
      <c r="Q53" s="35"/>
      <c r="R53" s="35"/>
      <c r="S53" s="35"/>
      <c r="T53" s="35"/>
      <c r="U53" s="35"/>
      <c r="V53" s="35"/>
      <c r="W53" s="35"/>
      <c r="X53" s="35"/>
      <c r="Y53" s="35"/>
      <c r="Z53" s="35"/>
      <c r="AA53" s="35"/>
      <c r="AB53" s="35"/>
      <c r="AC53" s="35"/>
      <c r="AD53" s="35"/>
      <c r="AE53" s="35"/>
      <c r="AF53" s="35"/>
      <c r="AG53" s="35"/>
      <c r="AH53" s="35"/>
      <c r="AI53" s="35"/>
      <c r="AJ53" s="35"/>
      <c r="AK53" s="35"/>
      <c r="AL53" s="35"/>
      <c r="AM53" s="35"/>
      <c r="AN53" s="35"/>
    </row>
    <row r="54" spans="1:4" ht="15">
      <c r="A54" s="50"/>
      <c r="B54" s="52"/>
      <c r="C54" s="51"/>
      <c r="D54" s="51"/>
    </row>
    <row r="55" spans="1:4" ht="15">
      <c r="A55" s="50" t="s">
        <v>2</v>
      </c>
      <c r="B55" s="52" t="s">
        <v>84</v>
      </c>
      <c r="C55" s="51"/>
      <c r="D55" s="51"/>
    </row>
    <row r="56" spans="1:4" ht="15">
      <c r="A56" s="50"/>
      <c r="B56" s="52"/>
      <c r="C56" s="51"/>
      <c r="D56" s="51"/>
    </row>
    <row r="57" spans="1:16" ht="15">
      <c r="A57" s="83" t="s">
        <v>115</v>
      </c>
      <c r="B57" s="84" t="s">
        <v>134</v>
      </c>
      <c r="C57" s="105"/>
      <c r="D57" s="105"/>
      <c r="E57" s="106"/>
      <c r="F57" s="106"/>
      <c r="G57" s="84"/>
      <c r="H57" s="84"/>
      <c r="I57" s="84"/>
      <c r="J57" s="84"/>
      <c r="K57" s="84"/>
      <c r="L57" s="84"/>
      <c r="M57" s="84"/>
      <c r="N57" s="84"/>
      <c r="O57" s="84"/>
      <c r="P57" s="85"/>
    </row>
    <row r="58" spans="1:4" ht="15">
      <c r="A58" s="50"/>
      <c r="B58" s="52"/>
      <c r="C58" s="51"/>
      <c r="D58" s="51"/>
    </row>
    <row r="59" spans="1:4" ht="15">
      <c r="A59" s="54" t="s">
        <v>64</v>
      </c>
      <c r="B59" s="53" t="s">
        <v>85</v>
      </c>
      <c r="C59" s="51"/>
      <c r="D59" s="51"/>
    </row>
    <row r="60" spans="1:4" ht="15">
      <c r="A60" s="53"/>
      <c r="B60" s="11"/>
      <c r="C60" s="51"/>
      <c r="D60" s="51"/>
    </row>
    <row r="61" spans="1:4" ht="15">
      <c r="A61" s="57" t="s">
        <v>78</v>
      </c>
      <c r="B61" s="84" t="s">
        <v>116</v>
      </c>
      <c r="C61" s="51"/>
      <c r="D61" s="51"/>
    </row>
    <row r="63" spans="1:2" ht="15">
      <c r="A63" s="88" t="s">
        <v>152</v>
      </c>
      <c r="B63" s="16" t="s">
        <v>120</v>
      </c>
    </row>
    <row r="64" ht="15">
      <c r="B64" s="116" t="s">
        <v>124</v>
      </c>
    </row>
    <row r="65" ht="15">
      <c r="B65" s="116" t="s">
        <v>155</v>
      </c>
    </row>
    <row r="67" spans="1:2" ht="15">
      <c r="A67" s="57" t="s">
        <v>47</v>
      </c>
      <c r="B67" s="16" t="s">
        <v>107</v>
      </c>
    </row>
    <row r="69" spans="1:2" ht="15">
      <c r="A69" s="57" t="s">
        <v>13</v>
      </c>
      <c r="B69" s="84" t="s">
        <v>118</v>
      </c>
    </row>
    <row r="71" spans="1:2" ht="15">
      <c r="A71" s="57" t="s">
        <v>137</v>
      </c>
      <c r="B71" s="16" t="s">
        <v>138</v>
      </c>
    </row>
    <row r="73" spans="1:2" ht="15">
      <c r="A73" s="57" t="s">
        <v>167</v>
      </c>
      <c r="B73" s="16" t="s">
        <v>177</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30" r:id="rId1"/>
  <rowBreaks count="1" manualBreakCount="1">
    <brk id="52" max="16" man="1"/>
  </rowBreaks>
</worksheet>
</file>

<file path=xl/worksheets/sheet3.xml><?xml version="1.0" encoding="utf-8"?>
<worksheet xmlns="http://schemas.openxmlformats.org/spreadsheetml/2006/main" xmlns:r="http://schemas.openxmlformats.org/officeDocument/2006/relationships">
  <sheetPr>
    <tabColor rgb="FFFFFF00"/>
  </sheetPr>
  <dimension ref="A1:X42"/>
  <sheetViews>
    <sheetView zoomScale="80" zoomScaleNormal="80" zoomScalePageLayoutView="0" workbookViewId="0" topLeftCell="J1">
      <selection activeCell="W13" sqref="W13"/>
    </sheetView>
  </sheetViews>
  <sheetFormatPr defaultColWidth="9.140625" defaultRowHeight="12.75"/>
  <cols>
    <col min="1" max="1" width="38.00390625" style="56" customWidth="1"/>
    <col min="2" max="2" width="11.57421875" style="56" bestFit="1" customWidth="1"/>
    <col min="3" max="3" width="9.140625" style="56" customWidth="1"/>
    <col min="4" max="4" width="10.28125" style="56" customWidth="1"/>
    <col min="5" max="5" width="9.8515625" style="56" bestFit="1" customWidth="1"/>
    <col min="6" max="6" width="9.7109375" style="56" bestFit="1" customWidth="1"/>
    <col min="7" max="7" width="12.28125" style="56" bestFit="1" customWidth="1"/>
    <col min="8" max="8" width="11.28125" style="56" customWidth="1"/>
    <col min="9" max="9" width="13.8515625" style="56" bestFit="1" customWidth="1"/>
    <col min="10" max="10" width="11.28125" style="56" customWidth="1"/>
    <col min="11" max="11" width="12.28125" style="56" customWidth="1"/>
    <col min="12" max="13" width="13.421875" style="56" customWidth="1"/>
    <col min="14" max="14" width="14.00390625" style="56" customWidth="1"/>
    <col min="15" max="15" width="14.140625" style="56" customWidth="1"/>
    <col min="16" max="16" width="14.00390625" style="56" customWidth="1"/>
    <col min="17" max="20" width="14.28125" style="56" customWidth="1"/>
    <col min="21" max="23" width="13.57421875" style="56" customWidth="1"/>
    <col min="24" max="16384" width="9.140625" style="56" customWidth="1"/>
  </cols>
  <sheetData>
    <row r="1" spans="1:9" ht="15">
      <c r="A1" s="16"/>
      <c r="B1" s="55"/>
      <c r="C1" s="55"/>
      <c r="D1" s="55"/>
      <c r="E1" s="55"/>
      <c r="F1" s="55"/>
      <c r="G1" s="55"/>
      <c r="H1" s="55"/>
      <c r="I1" s="16"/>
    </row>
    <row r="2" spans="1:23" s="51" customFormat="1" ht="31.5" customHeight="1">
      <c r="A2" s="18" t="s">
        <v>151</v>
      </c>
      <c r="B2" s="19"/>
      <c r="C2" s="19"/>
      <c r="D2" s="20"/>
      <c r="E2" s="21"/>
      <c r="F2" s="21"/>
      <c r="G2" s="21"/>
      <c r="H2" s="21"/>
      <c r="I2" s="20"/>
      <c r="J2" s="20"/>
      <c r="K2" s="20"/>
      <c r="L2" s="20"/>
      <c r="M2" s="20"/>
      <c r="N2" s="20"/>
      <c r="O2" s="20"/>
      <c r="P2" s="20"/>
      <c r="Q2" s="20"/>
      <c r="R2" s="20"/>
      <c r="S2" s="20"/>
      <c r="T2" s="20"/>
      <c r="U2" s="20"/>
      <c r="V2" s="20"/>
      <c r="W2" s="20"/>
    </row>
    <row r="3" spans="1:9" ht="15">
      <c r="A3" s="16"/>
      <c r="B3" s="16"/>
      <c r="C3" s="16"/>
      <c r="D3" s="55"/>
      <c r="E3" s="16"/>
      <c r="F3" s="16"/>
      <c r="G3" s="55"/>
      <c r="H3" s="55"/>
      <c r="I3" s="16"/>
    </row>
    <row r="4" spans="1:9" ht="15">
      <c r="A4" s="16" t="s">
        <v>0</v>
      </c>
      <c r="B4" s="23">
        <v>42612</v>
      </c>
      <c r="C4" s="16"/>
      <c r="D4" s="16"/>
      <c r="E4" s="16"/>
      <c r="F4" s="16"/>
      <c r="G4" s="23"/>
      <c r="H4" s="23"/>
      <c r="I4" s="16"/>
    </row>
    <row r="5" spans="1:9" ht="15">
      <c r="A5" s="16" t="s">
        <v>1</v>
      </c>
      <c r="B5" s="115">
        <v>42593</v>
      </c>
      <c r="C5" s="16"/>
      <c r="D5" s="16"/>
      <c r="E5" s="16"/>
      <c r="F5" s="16"/>
      <c r="G5" s="23"/>
      <c r="H5" s="23"/>
      <c r="I5" s="16"/>
    </row>
    <row r="6" spans="1:22" ht="15">
      <c r="A6" s="16"/>
      <c r="B6" s="57">
        <v>2011</v>
      </c>
      <c r="C6" s="16"/>
      <c r="D6" s="16"/>
      <c r="E6" s="16"/>
      <c r="F6" s="57">
        <v>2012</v>
      </c>
      <c r="G6" s="23"/>
      <c r="H6" s="23"/>
      <c r="I6" s="16"/>
      <c r="J6" s="87">
        <v>2013</v>
      </c>
      <c r="N6" s="87">
        <v>2014</v>
      </c>
      <c r="R6" s="56">
        <v>2015</v>
      </c>
      <c r="V6" s="56">
        <v>2016</v>
      </c>
    </row>
    <row r="7" spans="1:23" ht="32.25" customHeight="1">
      <c r="A7" s="58" t="s">
        <v>99</v>
      </c>
      <c r="B7" s="59" t="s">
        <v>62</v>
      </c>
      <c r="C7" s="59" t="s">
        <v>63</v>
      </c>
      <c r="D7" s="59" t="s">
        <v>65</v>
      </c>
      <c r="E7" s="59" t="s">
        <v>70</v>
      </c>
      <c r="F7" s="59" t="s">
        <v>74</v>
      </c>
      <c r="G7" s="65" t="s">
        <v>79</v>
      </c>
      <c r="H7" s="59" t="s">
        <v>82</v>
      </c>
      <c r="I7" s="59" t="s">
        <v>102</v>
      </c>
      <c r="J7" s="59" t="s">
        <v>104</v>
      </c>
      <c r="K7" s="59" t="s">
        <v>108</v>
      </c>
      <c r="L7" s="59" t="s">
        <v>111</v>
      </c>
      <c r="M7" s="107" t="s">
        <v>112</v>
      </c>
      <c r="N7" s="59" t="s">
        <v>113</v>
      </c>
      <c r="O7" s="59" t="s">
        <v>119</v>
      </c>
      <c r="P7" s="59" t="s">
        <v>129</v>
      </c>
      <c r="Q7" s="59" t="s">
        <v>135</v>
      </c>
      <c r="R7" s="107" t="s">
        <v>136</v>
      </c>
      <c r="S7" s="59" t="s">
        <v>142</v>
      </c>
      <c r="T7" s="107" t="s">
        <v>143</v>
      </c>
      <c r="U7" s="107" t="s">
        <v>147</v>
      </c>
      <c r="V7" s="107" t="s">
        <v>150</v>
      </c>
      <c r="W7" s="107" t="s">
        <v>162</v>
      </c>
    </row>
    <row r="8" spans="1:23" ht="15">
      <c r="A8" s="60" t="s">
        <v>110</v>
      </c>
      <c r="B8" s="61">
        <f>SUM(B16:B19)</f>
        <v>274000</v>
      </c>
      <c r="C8" s="61">
        <f>SUM(C16:C19)</f>
        <v>576400</v>
      </c>
      <c r="D8" s="61">
        <f>SUM(D16:D19)</f>
        <v>845800</v>
      </c>
      <c r="E8" s="61">
        <f>SUM(E16:E19)</f>
        <v>1059900</v>
      </c>
      <c r="F8" s="61">
        <f aca="true" t="shared" si="0" ref="F8:N8">SUM(F13:F19)</f>
        <v>1337600</v>
      </c>
      <c r="G8" s="61">
        <f t="shared" si="0"/>
        <v>1971500</v>
      </c>
      <c r="H8" s="72">
        <f t="shared" si="0"/>
        <v>2581330</v>
      </c>
      <c r="I8" s="72">
        <f t="shared" si="0"/>
        <v>3200800</v>
      </c>
      <c r="J8" s="72">
        <f t="shared" si="0"/>
        <v>3749600</v>
      </c>
      <c r="K8" s="72">
        <f t="shared" si="0"/>
        <v>4195600</v>
      </c>
      <c r="L8" s="72">
        <f t="shared" si="0"/>
        <v>4641000</v>
      </c>
      <c r="M8" s="72">
        <f t="shared" si="0"/>
        <v>5078300</v>
      </c>
      <c r="N8" s="72">
        <f t="shared" si="0"/>
        <v>5517000</v>
      </c>
      <c r="O8" s="72">
        <f>SUM(O13:O19)</f>
        <v>5888400</v>
      </c>
      <c r="P8" s="72">
        <f>SUM(P13:P19)</f>
        <v>6284800</v>
      </c>
      <c r="Q8" s="72">
        <f>SUM(Q13:Q19)</f>
        <v>6690000</v>
      </c>
      <c r="R8" s="72">
        <f>SUM(R13:R19)</f>
        <v>7108000</v>
      </c>
      <c r="S8" s="72">
        <f>SUM(S18:S19)</f>
        <v>7449000</v>
      </c>
      <c r="T8" s="137">
        <f>SUM(T18:T19)</f>
        <v>7739000</v>
      </c>
      <c r="U8" s="137">
        <f>SUM(U18:U19)</f>
        <v>8079000</v>
      </c>
      <c r="V8" s="137">
        <f>SUM(V18:V19)</f>
        <v>8546000</v>
      </c>
      <c r="W8" s="137">
        <f>SUM(W18:W19)</f>
        <v>8777000</v>
      </c>
    </row>
    <row r="9" spans="1:23" ht="15">
      <c r="A9" s="62" t="s">
        <v>103</v>
      </c>
      <c r="B9" s="62"/>
      <c r="C9" s="63">
        <f aca="true" t="shared" si="1" ref="C9:H9">C8-B8</f>
        <v>302400</v>
      </c>
      <c r="D9" s="63">
        <f t="shared" si="1"/>
        <v>269400</v>
      </c>
      <c r="E9" s="63">
        <f t="shared" si="1"/>
        <v>214100</v>
      </c>
      <c r="F9" s="63">
        <f t="shared" si="1"/>
        <v>277700</v>
      </c>
      <c r="G9" s="63">
        <f t="shared" si="1"/>
        <v>633900</v>
      </c>
      <c r="H9" s="63">
        <f t="shared" si="1"/>
        <v>609830</v>
      </c>
      <c r="I9" s="63">
        <f aca="true" t="shared" si="2" ref="I9:N9">I8-H8</f>
        <v>619470</v>
      </c>
      <c r="J9" s="103">
        <f t="shared" si="2"/>
        <v>548800</v>
      </c>
      <c r="K9" s="103">
        <f t="shared" si="2"/>
        <v>446000</v>
      </c>
      <c r="L9" s="103">
        <f t="shared" si="2"/>
        <v>445400</v>
      </c>
      <c r="M9" s="103">
        <f t="shared" si="2"/>
        <v>437300</v>
      </c>
      <c r="N9" s="103">
        <f t="shared" si="2"/>
        <v>438700</v>
      </c>
      <c r="O9" s="103">
        <f aca="true" t="shared" si="3" ref="O9:T9">O8-N8</f>
        <v>371400</v>
      </c>
      <c r="P9" s="126">
        <f t="shared" si="3"/>
        <v>396400</v>
      </c>
      <c r="Q9" s="126">
        <f t="shared" si="3"/>
        <v>405200</v>
      </c>
      <c r="R9" s="126">
        <f t="shared" si="3"/>
        <v>418000</v>
      </c>
      <c r="S9" s="126">
        <f t="shared" si="3"/>
        <v>341000</v>
      </c>
      <c r="T9" s="138">
        <f t="shared" si="3"/>
        <v>290000</v>
      </c>
      <c r="U9" s="138">
        <f>U8-T8</f>
        <v>340000</v>
      </c>
      <c r="V9" s="138">
        <f>V8-U8</f>
        <v>467000</v>
      </c>
      <c r="W9" s="138">
        <f>W8-V8</f>
        <v>231000</v>
      </c>
    </row>
    <row r="10" spans="1:23" ht="15">
      <c r="A10" s="62" t="s">
        <v>141</v>
      </c>
      <c r="B10" s="62"/>
      <c r="C10" s="63"/>
      <c r="D10" s="63"/>
      <c r="E10" s="63"/>
      <c r="F10" s="63"/>
      <c r="G10" s="63"/>
      <c r="H10" s="63"/>
      <c r="I10" s="63"/>
      <c r="J10" s="128"/>
      <c r="K10" s="128"/>
      <c r="L10" s="128">
        <f aca="true" t="shared" si="4" ref="L10:Q10">L18-K18</f>
        <v>250400</v>
      </c>
      <c r="M10" s="128">
        <f t="shared" si="4"/>
        <v>209300</v>
      </c>
      <c r="N10" s="128">
        <f t="shared" si="4"/>
        <v>189700</v>
      </c>
      <c r="O10" s="128">
        <f t="shared" si="4"/>
        <v>144400</v>
      </c>
      <c r="P10" s="128">
        <f t="shared" si="4"/>
        <v>193400</v>
      </c>
      <c r="Q10" s="128">
        <f t="shared" si="4"/>
        <v>196200</v>
      </c>
      <c r="R10" s="128">
        <f aca="true" t="shared" si="5" ref="R10:T11">R18-Q18</f>
        <v>152000</v>
      </c>
      <c r="S10" s="128">
        <f t="shared" si="5"/>
        <v>125000</v>
      </c>
      <c r="T10" s="139">
        <f t="shared" si="5"/>
        <v>78000</v>
      </c>
      <c r="U10" s="139">
        <f aca="true" t="shared" si="6" ref="U10:W11">U18-T18</f>
        <v>89000</v>
      </c>
      <c r="V10" s="139">
        <f t="shared" si="6"/>
        <v>80000</v>
      </c>
      <c r="W10" s="139">
        <f t="shared" si="6"/>
        <v>50000</v>
      </c>
    </row>
    <row r="11" spans="1:23" ht="15">
      <c r="A11" s="62" t="s">
        <v>140</v>
      </c>
      <c r="B11" s="62"/>
      <c r="C11" s="63"/>
      <c r="D11" s="63"/>
      <c r="E11" s="63"/>
      <c r="F11" s="63"/>
      <c r="G11" s="63"/>
      <c r="H11" s="63"/>
      <c r="I11" s="63"/>
      <c r="J11" s="128"/>
      <c r="K11" s="128"/>
      <c r="L11" s="128">
        <f aca="true" t="shared" si="7" ref="L11:Q11">L19-K19</f>
        <v>195000</v>
      </c>
      <c r="M11" s="128">
        <f t="shared" si="7"/>
        <v>228000</v>
      </c>
      <c r="N11" s="128">
        <f t="shared" si="7"/>
        <v>249000</v>
      </c>
      <c r="O11" s="128">
        <f t="shared" si="7"/>
        <v>227000</v>
      </c>
      <c r="P11" s="128">
        <f t="shared" si="7"/>
        <v>203000</v>
      </c>
      <c r="Q11" s="128">
        <f t="shared" si="7"/>
        <v>209000</v>
      </c>
      <c r="R11" s="128">
        <f t="shared" si="5"/>
        <v>266000</v>
      </c>
      <c r="S11" s="128">
        <f t="shared" si="5"/>
        <v>216000</v>
      </c>
      <c r="T11" s="128">
        <f t="shared" si="5"/>
        <v>212000</v>
      </c>
      <c r="U11" s="128">
        <f t="shared" si="6"/>
        <v>251000</v>
      </c>
      <c r="V11" s="128">
        <f t="shared" si="6"/>
        <v>387000</v>
      </c>
      <c r="W11" s="128">
        <f t="shared" si="6"/>
        <v>181000</v>
      </c>
    </row>
    <row r="12" spans="1:23" ht="23.25" customHeight="1">
      <c r="A12" s="27" t="s">
        <v>97</v>
      </c>
      <c r="B12" s="28" t="s">
        <v>62</v>
      </c>
      <c r="C12" s="28" t="s">
        <v>63</v>
      </c>
      <c r="D12" s="28" t="s">
        <v>65</v>
      </c>
      <c r="E12" s="28" t="s">
        <v>70</v>
      </c>
      <c r="F12" s="28" t="s">
        <v>74</v>
      </c>
      <c r="G12" s="66" t="s">
        <v>79</v>
      </c>
      <c r="H12" s="59" t="s">
        <v>82</v>
      </c>
      <c r="I12" s="59" t="s">
        <v>102</v>
      </c>
      <c r="J12" s="59" t="s">
        <v>104</v>
      </c>
      <c r="K12" s="59" t="s">
        <v>108</v>
      </c>
      <c r="L12" s="59" t="s">
        <v>111</v>
      </c>
      <c r="M12" s="107" t="s">
        <v>112</v>
      </c>
      <c r="N12" s="59" t="s">
        <v>113</v>
      </c>
      <c r="O12" s="59" t="s">
        <v>119</v>
      </c>
      <c r="P12" s="59" t="s">
        <v>129</v>
      </c>
      <c r="Q12" s="59" t="s">
        <v>135</v>
      </c>
      <c r="R12" s="107" t="s">
        <v>136</v>
      </c>
      <c r="S12" s="107" t="s">
        <v>142</v>
      </c>
      <c r="T12" s="107" t="s">
        <v>143</v>
      </c>
      <c r="U12" s="107" t="s">
        <v>147</v>
      </c>
      <c r="V12" s="107" t="s">
        <v>150</v>
      </c>
      <c r="W12" s="107" t="s">
        <v>162</v>
      </c>
    </row>
    <row r="13" spans="1:24" ht="15">
      <c r="A13" s="31" t="s">
        <v>77</v>
      </c>
      <c r="B13" s="31"/>
      <c r="C13" s="31"/>
      <c r="D13" s="31"/>
      <c r="E13" s="31"/>
      <c r="F13" s="64">
        <v>20400</v>
      </c>
      <c r="G13" s="67">
        <v>90500</v>
      </c>
      <c r="H13" s="75">
        <v>149830</v>
      </c>
      <c r="I13" s="75">
        <v>205100</v>
      </c>
      <c r="J13" s="75">
        <v>225900</v>
      </c>
      <c r="K13" s="75"/>
      <c r="L13" s="76"/>
      <c r="M13" s="76"/>
      <c r="N13" s="110"/>
      <c r="O13" s="110"/>
      <c r="P13" s="110"/>
      <c r="Q13" s="110"/>
      <c r="R13" s="110"/>
      <c r="S13" s="41">
        <v>1828000</v>
      </c>
      <c r="T13" s="92">
        <v>2019000</v>
      </c>
      <c r="U13" s="86">
        <v>2112700</v>
      </c>
      <c r="V13" s="140">
        <v>2335000</v>
      </c>
      <c r="W13" s="134">
        <v>2356000</v>
      </c>
      <c r="X13" s="142" t="s">
        <v>166</v>
      </c>
    </row>
    <row r="14" spans="1:23" ht="15">
      <c r="A14" s="31" t="s">
        <v>75</v>
      </c>
      <c r="B14" s="64"/>
      <c r="C14" s="64"/>
      <c r="D14" s="64"/>
      <c r="E14" s="64"/>
      <c r="F14" s="41">
        <v>43600</v>
      </c>
      <c r="G14" s="67">
        <v>366100</v>
      </c>
      <c r="H14" s="75">
        <v>602900</v>
      </c>
      <c r="I14" s="75">
        <v>822700</v>
      </c>
      <c r="J14" s="75">
        <v>940900</v>
      </c>
      <c r="K14" s="75"/>
      <c r="L14" s="76"/>
      <c r="M14" s="76"/>
      <c r="N14" s="110"/>
      <c r="O14" s="110"/>
      <c r="P14" s="110"/>
      <c r="Q14" s="110"/>
      <c r="R14" s="110"/>
      <c r="S14" s="110"/>
      <c r="T14" s="41"/>
      <c r="U14" s="92"/>
      <c r="V14" s="92"/>
      <c r="W14" s="92"/>
    </row>
    <row r="15" spans="1:23" ht="15">
      <c r="A15" s="31" t="s">
        <v>76</v>
      </c>
      <c r="B15" s="64"/>
      <c r="C15" s="64"/>
      <c r="D15" s="64"/>
      <c r="E15" s="64"/>
      <c r="F15" s="64">
        <v>193600</v>
      </c>
      <c r="G15" s="67">
        <v>133500</v>
      </c>
      <c r="H15" s="75">
        <v>84800</v>
      </c>
      <c r="I15" s="75">
        <v>39300</v>
      </c>
      <c r="J15" s="75">
        <v>21600</v>
      </c>
      <c r="K15" s="75"/>
      <c r="L15" s="76"/>
      <c r="M15" s="76"/>
      <c r="N15" s="76"/>
      <c r="O15" s="76"/>
      <c r="P15" s="76"/>
      <c r="Q15" s="76"/>
      <c r="R15" s="110"/>
      <c r="S15" s="110"/>
      <c r="T15" s="41"/>
      <c r="U15" s="92"/>
      <c r="V15" s="92"/>
      <c r="W15" s="92"/>
    </row>
    <row r="16" spans="1:23" ht="15">
      <c r="A16" s="31" t="s">
        <v>72</v>
      </c>
      <c r="B16" s="64">
        <v>157000</v>
      </c>
      <c r="C16" s="64">
        <v>172000</v>
      </c>
      <c r="D16" s="64">
        <v>187000</v>
      </c>
      <c r="E16" s="64">
        <v>197900</v>
      </c>
      <c r="F16" s="41"/>
      <c r="G16" s="67"/>
      <c r="H16" s="75"/>
      <c r="I16" s="75"/>
      <c r="J16" s="75"/>
      <c r="K16" s="75"/>
      <c r="L16" s="76"/>
      <c r="M16" s="76"/>
      <c r="N16" s="110"/>
      <c r="O16" s="110"/>
      <c r="P16" s="110"/>
      <c r="Q16" s="110"/>
      <c r="R16" s="110"/>
      <c r="S16" s="110"/>
      <c r="T16" s="41"/>
      <c r="U16" s="92"/>
      <c r="V16" s="92"/>
      <c r="W16" s="92"/>
    </row>
    <row r="17" spans="1:23" ht="15">
      <c r="A17" s="31" t="s">
        <v>66</v>
      </c>
      <c r="B17" s="64"/>
      <c r="C17" s="64">
        <v>214000</v>
      </c>
      <c r="D17" s="64">
        <v>377000</v>
      </c>
      <c r="E17" s="64">
        <v>499000</v>
      </c>
      <c r="F17" s="41">
        <v>586000</v>
      </c>
      <c r="G17" s="67">
        <v>713400</v>
      </c>
      <c r="H17" s="75">
        <v>918800</v>
      </c>
      <c r="I17" s="75">
        <v>1108700</v>
      </c>
      <c r="J17" s="75">
        <v>1325200</v>
      </c>
      <c r="K17" s="75"/>
      <c r="L17" s="76"/>
      <c r="M17" s="108"/>
      <c r="N17" s="110"/>
      <c r="O17" s="110"/>
      <c r="P17" s="110"/>
      <c r="Q17" s="110"/>
      <c r="R17" s="92"/>
      <c r="S17" s="92"/>
      <c r="T17" s="41"/>
      <c r="U17" s="92"/>
      <c r="V17" s="92"/>
      <c r="W17" s="92"/>
    </row>
    <row r="18" spans="1:24" ht="15">
      <c r="A18" s="31" t="s">
        <v>109</v>
      </c>
      <c r="B18" s="111"/>
      <c r="C18" s="111"/>
      <c r="D18" s="111"/>
      <c r="E18" s="111"/>
      <c r="F18" s="111"/>
      <c r="G18" s="111"/>
      <c r="H18" s="111"/>
      <c r="I18" s="111"/>
      <c r="J18" s="111"/>
      <c r="K18" s="75">
        <v>2762600</v>
      </c>
      <c r="L18" s="90">
        <v>3013000</v>
      </c>
      <c r="M18" s="109">
        <v>3222300</v>
      </c>
      <c r="N18" s="76">
        <v>3412000</v>
      </c>
      <c r="O18" s="92">
        <v>3556400</v>
      </c>
      <c r="P18" s="86">
        <v>3749800</v>
      </c>
      <c r="Q18" s="86">
        <v>3946000</v>
      </c>
      <c r="R18" s="34">
        <v>4098000</v>
      </c>
      <c r="S18" s="86">
        <v>4223000</v>
      </c>
      <c r="T18" s="86">
        <v>4301000</v>
      </c>
      <c r="U18" s="86">
        <v>4390000</v>
      </c>
      <c r="V18" s="86">
        <v>4470000</v>
      </c>
      <c r="W18" s="134">
        <v>4520000</v>
      </c>
      <c r="X18" s="141" t="s">
        <v>168</v>
      </c>
    </row>
    <row r="19" spans="1:23" ht="15">
      <c r="A19" s="31" t="s">
        <v>71</v>
      </c>
      <c r="B19" s="33">
        <v>117000</v>
      </c>
      <c r="C19" s="33">
        <v>190400</v>
      </c>
      <c r="D19" s="33">
        <v>281800</v>
      </c>
      <c r="E19" s="33">
        <v>363000</v>
      </c>
      <c r="F19" s="34">
        <v>494000</v>
      </c>
      <c r="G19" s="121">
        <v>668000</v>
      </c>
      <c r="H19" s="121">
        <v>825000</v>
      </c>
      <c r="I19" s="121">
        <v>1025000</v>
      </c>
      <c r="J19" s="121">
        <v>1236000</v>
      </c>
      <c r="K19" s="121">
        <v>1433000</v>
      </c>
      <c r="L19" s="121">
        <v>1628000</v>
      </c>
      <c r="M19" s="121">
        <v>1856000</v>
      </c>
      <c r="N19" s="121">
        <v>2105000</v>
      </c>
      <c r="O19" s="41">
        <v>2332000</v>
      </c>
      <c r="P19" s="92">
        <v>2535000</v>
      </c>
      <c r="Q19" s="92">
        <v>2744000</v>
      </c>
      <c r="R19" s="92">
        <v>3010000</v>
      </c>
      <c r="S19" s="92">
        <v>3226000</v>
      </c>
      <c r="T19" s="92">
        <v>3438000</v>
      </c>
      <c r="U19" s="92">
        <v>3689000</v>
      </c>
      <c r="V19" s="92">
        <v>4076000</v>
      </c>
      <c r="W19" s="135">
        <v>4257000</v>
      </c>
    </row>
    <row r="20" spans="1:23" ht="15">
      <c r="A20" s="31"/>
      <c r="B20" s="31"/>
      <c r="C20" s="110"/>
      <c r="D20" s="110"/>
      <c r="E20" s="110"/>
      <c r="F20" s="110"/>
      <c r="G20" s="110"/>
      <c r="H20" s="110"/>
      <c r="I20" s="110"/>
      <c r="J20" s="110"/>
      <c r="K20" s="110"/>
      <c r="L20" s="110"/>
      <c r="M20" s="110"/>
      <c r="N20" s="76"/>
      <c r="O20" s="110"/>
      <c r="P20" s="125"/>
      <c r="Q20" s="92"/>
      <c r="R20" s="110"/>
      <c r="S20" s="92"/>
      <c r="T20" s="92"/>
      <c r="U20" s="92"/>
      <c r="V20" s="92"/>
      <c r="W20" s="92"/>
    </row>
    <row r="21" spans="1:23" ht="15">
      <c r="A21" s="31"/>
      <c r="B21" s="31"/>
      <c r="C21" s="110"/>
      <c r="D21" s="110"/>
      <c r="E21" s="110"/>
      <c r="F21" s="110"/>
      <c r="G21" s="110"/>
      <c r="H21" s="110"/>
      <c r="I21" s="110"/>
      <c r="J21" s="110"/>
      <c r="K21" s="110"/>
      <c r="L21" s="110"/>
      <c r="M21" s="110"/>
      <c r="N21" s="76"/>
      <c r="O21" s="110"/>
      <c r="P21" s="125"/>
      <c r="Q21" s="92"/>
      <c r="R21" s="110"/>
      <c r="S21" s="92"/>
      <c r="T21" s="92"/>
      <c r="U21" s="92"/>
      <c r="V21" s="92"/>
      <c r="W21" s="92"/>
    </row>
    <row r="22" spans="1:23" ht="15">
      <c r="A22" s="31"/>
      <c r="B22" s="31"/>
      <c r="C22" s="31"/>
      <c r="D22" s="31"/>
      <c r="E22" s="31"/>
      <c r="F22" s="89"/>
      <c r="G22" s="90"/>
      <c r="H22" s="90"/>
      <c r="I22" s="90"/>
      <c r="J22" s="76"/>
      <c r="K22" s="76"/>
      <c r="L22" s="76"/>
      <c r="M22" s="76"/>
      <c r="N22" s="110"/>
      <c r="O22" s="110"/>
      <c r="P22" s="125"/>
      <c r="Q22" s="92"/>
      <c r="R22" s="110"/>
      <c r="S22" s="92"/>
      <c r="T22" s="92"/>
      <c r="U22" s="92"/>
      <c r="V22" s="92"/>
      <c r="W22" s="92"/>
    </row>
    <row r="23" spans="1:23" ht="15">
      <c r="A23" s="31" t="s">
        <v>173</v>
      </c>
      <c r="B23" s="31"/>
      <c r="C23" s="31"/>
      <c r="D23" s="31"/>
      <c r="E23" s="31"/>
      <c r="F23" s="31"/>
      <c r="G23" s="67">
        <v>2300</v>
      </c>
      <c r="H23" s="81">
        <v>2500</v>
      </c>
      <c r="I23" s="77">
        <v>3400</v>
      </c>
      <c r="J23" s="77">
        <v>3600</v>
      </c>
      <c r="K23" s="77">
        <v>4200</v>
      </c>
      <c r="L23" s="74">
        <v>5000</v>
      </c>
      <c r="M23" s="76">
        <v>6980</v>
      </c>
      <c r="N23" s="34">
        <v>8000</v>
      </c>
      <c r="O23" s="41">
        <v>9195</v>
      </c>
      <c r="P23" s="86">
        <v>10000</v>
      </c>
      <c r="Q23" s="92">
        <v>12900</v>
      </c>
      <c r="R23" s="34">
        <v>13500</v>
      </c>
      <c r="S23" s="92">
        <v>18520</v>
      </c>
      <c r="T23" s="86">
        <v>18800</v>
      </c>
      <c r="U23" s="92">
        <v>23825</v>
      </c>
      <c r="V23" s="86">
        <v>26000</v>
      </c>
      <c r="W23" s="136">
        <v>28000</v>
      </c>
    </row>
    <row r="24" spans="1:24" ht="15">
      <c r="A24" s="31" t="s">
        <v>80</v>
      </c>
      <c r="B24" s="31"/>
      <c r="C24" s="31"/>
      <c r="D24" s="31"/>
      <c r="E24" s="31"/>
      <c r="F24" s="31"/>
      <c r="G24" s="118">
        <v>40000</v>
      </c>
      <c r="H24" s="119">
        <v>70000</v>
      </c>
      <c r="I24" s="120">
        <v>115000</v>
      </c>
      <c r="J24" s="120">
        <v>175000</v>
      </c>
      <c r="K24" s="120">
        <v>243000</v>
      </c>
      <c r="L24" s="92">
        <v>364000</v>
      </c>
      <c r="M24" s="76">
        <v>474000</v>
      </c>
      <c r="N24" s="92">
        <v>572000</v>
      </c>
      <c r="O24" s="41">
        <v>687000</v>
      </c>
      <c r="P24" s="92">
        <v>828000</v>
      </c>
      <c r="Q24" s="92">
        <v>994000</v>
      </c>
      <c r="R24" s="41">
        <v>1183000</v>
      </c>
      <c r="S24" s="92">
        <v>1356000</v>
      </c>
      <c r="T24" s="92">
        <v>1559000</v>
      </c>
      <c r="U24" s="92">
        <v>1803000</v>
      </c>
      <c r="V24" s="92">
        <v>1831000</v>
      </c>
      <c r="W24" s="135">
        <v>1982000</v>
      </c>
      <c r="X24" s="133" t="s">
        <v>153</v>
      </c>
    </row>
    <row r="25" spans="1:23" ht="15">
      <c r="A25" s="31" t="s">
        <v>98</v>
      </c>
      <c r="B25" s="31"/>
      <c r="C25" s="31"/>
      <c r="D25" s="31"/>
      <c r="E25" s="31"/>
      <c r="F25" s="31"/>
      <c r="G25" s="68">
        <v>10000</v>
      </c>
      <c r="H25" s="82">
        <v>11000</v>
      </c>
      <c r="I25" s="80">
        <v>15000</v>
      </c>
      <c r="J25" s="80">
        <v>21000</v>
      </c>
      <c r="K25" s="80">
        <v>24500</v>
      </c>
      <c r="L25" s="74">
        <v>26000</v>
      </c>
      <c r="M25" s="74">
        <v>27500</v>
      </c>
      <c r="N25" s="34">
        <v>29000</v>
      </c>
      <c r="O25" s="34">
        <v>31500</v>
      </c>
      <c r="P25" s="86">
        <v>34500</v>
      </c>
      <c r="Q25" s="86">
        <v>44500</v>
      </c>
      <c r="R25" s="34">
        <v>51000</v>
      </c>
      <c r="S25" s="86">
        <v>60000</v>
      </c>
      <c r="T25" s="86">
        <v>65000</v>
      </c>
      <c r="U25" s="86">
        <v>69000</v>
      </c>
      <c r="V25" s="86">
        <v>72000</v>
      </c>
      <c r="W25" s="136">
        <v>100000</v>
      </c>
    </row>
    <row r="26" spans="1:23" ht="15">
      <c r="A26" s="45" t="s">
        <v>29</v>
      </c>
      <c r="B26" s="31"/>
      <c r="C26" s="31"/>
      <c r="D26" s="31"/>
      <c r="E26" s="31"/>
      <c r="F26" s="31"/>
      <c r="G26" s="122">
        <f aca="true" t="shared" si="8" ref="G26:M26">SUM(G23:G25)</f>
        <v>52300</v>
      </c>
      <c r="H26" s="122">
        <f t="shared" si="8"/>
        <v>83500</v>
      </c>
      <c r="I26" s="122">
        <f t="shared" si="8"/>
        <v>133400</v>
      </c>
      <c r="J26" s="123">
        <f t="shared" si="8"/>
        <v>199600</v>
      </c>
      <c r="K26" s="123">
        <f t="shared" si="8"/>
        <v>271700</v>
      </c>
      <c r="L26" s="123">
        <f t="shared" si="8"/>
        <v>395000</v>
      </c>
      <c r="M26" s="101">
        <f t="shared" si="8"/>
        <v>508480</v>
      </c>
      <c r="N26" s="101">
        <f aca="true" t="shared" si="9" ref="N26:S26">SUM(N23:N25)</f>
        <v>609000</v>
      </c>
      <c r="O26" s="101">
        <f t="shared" si="9"/>
        <v>727695</v>
      </c>
      <c r="P26" s="101">
        <f t="shared" si="9"/>
        <v>872500</v>
      </c>
      <c r="Q26" s="101">
        <f t="shared" si="9"/>
        <v>1051400</v>
      </c>
      <c r="R26" s="101">
        <f t="shared" si="9"/>
        <v>1247500</v>
      </c>
      <c r="S26" s="101">
        <f t="shared" si="9"/>
        <v>1434520</v>
      </c>
      <c r="T26" s="123">
        <f>SUM(T23:T25)</f>
        <v>1642800</v>
      </c>
      <c r="U26" s="129">
        <f>SUM(U23:U25)</f>
        <v>1895825</v>
      </c>
      <c r="V26" s="129">
        <f>SUM(V23:V25)</f>
        <v>1929000</v>
      </c>
      <c r="W26" s="129">
        <f>SUM(W23:W25)</f>
        <v>2110000</v>
      </c>
    </row>
    <row r="27" spans="1:23" ht="15">
      <c r="A27" s="31"/>
      <c r="B27" s="31"/>
      <c r="C27" s="31"/>
      <c r="D27" s="31"/>
      <c r="E27" s="31"/>
      <c r="F27" s="31"/>
      <c r="G27" s="70"/>
      <c r="H27" s="73"/>
      <c r="J27" s="73"/>
      <c r="K27" s="76"/>
      <c r="L27" s="76"/>
      <c r="M27" s="76"/>
      <c r="N27" s="92"/>
      <c r="O27" s="110"/>
      <c r="P27" s="110"/>
      <c r="Q27" s="41"/>
      <c r="R27" s="41"/>
      <c r="S27" s="92"/>
      <c r="T27" s="41"/>
      <c r="U27" s="41"/>
      <c r="V27" s="92"/>
      <c r="W27" s="92"/>
    </row>
    <row r="28" spans="1:23" ht="15">
      <c r="A28" s="31" t="s">
        <v>154</v>
      </c>
      <c r="B28" s="31"/>
      <c r="C28" s="31"/>
      <c r="D28" s="31"/>
      <c r="E28" s="31"/>
      <c r="F28" s="31"/>
      <c r="G28" s="69"/>
      <c r="H28" s="132">
        <f>H29-G29</f>
        <v>641030</v>
      </c>
      <c r="I28" s="132">
        <f aca="true" t="shared" si="10" ref="I28:U28">I29-H29</f>
        <v>669370</v>
      </c>
      <c r="J28" s="132">
        <f t="shared" si="10"/>
        <v>615000</v>
      </c>
      <c r="K28" s="132">
        <f t="shared" si="10"/>
        <v>518100</v>
      </c>
      <c r="L28" s="132">
        <f t="shared" si="10"/>
        <v>568700</v>
      </c>
      <c r="M28" s="132">
        <f t="shared" si="10"/>
        <v>550780</v>
      </c>
      <c r="N28" s="132">
        <f t="shared" si="10"/>
        <v>539220</v>
      </c>
      <c r="O28" s="132">
        <f t="shared" si="10"/>
        <v>490095</v>
      </c>
      <c r="P28" s="132">
        <f t="shared" si="10"/>
        <v>541205</v>
      </c>
      <c r="Q28" s="132">
        <f t="shared" si="10"/>
        <v>584100</v>
      </c>
      <c r="R28" s="132">
        <f t="shared" si="10"/>
        <v>614100</v>
      </c>
      <c r="S28" s="132">
        <f t="shared" si="10"/>
        <v>528020</v>
      </c>
      <c r="T28" s="132">
        <f t="shared" si="10"/>
        <v>498280</v>
      </c>
      <c r="U28" s="132">
        <f t="shared" si="10"/>
        <v>593025</v>
      </c>
      <c r="V28" s="132">
        <f>V29-U29</f>
        <v>500175</v>
      </c>
      <c r="W28" s="132">
        <f>W29-V29</f>
        <v>412000</v>
      </c>
    </row>
    <row r="29" spans="1:23" ht="15">
      <c r="A29" s="45" t="s">
        <v>81</v>
      </c>
      <c r="B29" s="31"/>
      <c r="C29" s="31"/>
      <c r="D29" s="31"/>
      <c r="E29" s="31"/>
      <c r="F29" s="31"/>
      <c r="G29" s="71">
        <f aca="true" t="shared" si="11" ref="G29:O29">G8+G26</f>
        <v>2023800</v>
      </c>
      <c r="H29" s="71">
        <f t="shared" si="11"/>
        <v>2664830</v>
      </c>
      <c r="I29" s="71">
        <f t="shared" si="11"/>
        <v>3334200</v>
      </c>
      <c r="J29" s="102">
        <f t="shared" si="11"/>
        <v>3949200</v>
      </c>
      <c r="K29" s="102">
        <f t="shared" si="11"/>
        <v>4467300</v>
      </c>
      <c r="L29" s="102">
        <f t="shared" si="11"/>
        <v>5036000</v>
      </c>
      <c r="M29" s="102">
        <f t="shared" si="11"/>
        <v>5586780</v>
      </c>
      <c r="N29" s="102">
        <f t="shared" si="11"/>
        <v>6126000</v>
      </c>
      <c r="O29" s="102">
        <f t="shared" si="11"/>
        <v>6616095</v>
      </c>
      <c r="P29" s="102">
        <f aca="true" t="shared" si="12" ref="P29:W29">P8+P26</f>
        <v>7157300</v>
      </c>
      <c r="Q29" s="102">
        <f t="shared" si="12"/>
        <v>7741400</v>
      </c>
      <c r="R29" s="102">
        <f t="shared" si="12"/>
        <v>8355500</v>
      </c>
      <c r="S29" s="102">
        <f t="shared" si="12"/>
        <v>8883520</v>
      </c>
      <c r="T29" s="131">
        <f t="shared" si="12"/>
        <v>9381800</v>
      </c>
      <c r="U29" s="102">
        <f t="shared" si="12"/>
        <v>9974825</v>
      </c>
      <c r="V29" s="102">
        <f>V8+V26</f>
        <v>10475000</v>
      </c>
      <c r="W29" s="102">
        <f t="shared" si="12"/>
        <v>10887000</v>
      </c>
    </row>
    <row r="30" spans="1:10" ht="12.75">
      <c r="A30" s="55"/>
      <c r="B30" s="55"/>
      <c r="C30" s="55"/>
      <c r="D30" s="55"/>
      <c r="E30" s="55"/>
      <c r="F30" s="55"/>
      <c r="G30" s="55"/>
      <c r="H30" s="91"/>
      <c r="I30" s="91"/>
      <c r="J30" s="91"/>
    </row>
    <row r="31" spans="1:21" ht="15">
      <c r="A31" s="78"/>
      <c r="B31" s="78"/>
      <c r="C31" s="79"/>
      <c r="D31" s="79"/>
      <c r="E31" s="79"/>
      <c r="U31" s="130"/>
    </row>
    <row r="32" spans="1:2" ht="15">
      <c r="A32" s="88" t="s">
        <v>105</v>
      </c>
      <c r="B32" s="78" t="s">
        <v>125</v>
      </c>
    </row>
    <row r="33" ht="15">
      <c r="B33" s="78" t="s">
        <v>126</v>
      </c>
    </row>
    <row r="36" spans="1:13" ht="15">
      <c r="A36" s="88" t="s">
        <v>44</v>
      </c>
      <c r="B36" s="78" t="s">
        <v>148</v>
      </c>
      <c r="C36" s="79"/>
      <c r="D36" s="79"/>
      <c r="E36" s="79"/>
      <c r="F36" s="79"/>
      <c r="G36" s="79"/>
      <c r="H36" s="79"/>
      <c r="I36" s="79"/>
      <c r="J36" s="79"/>
      <c r="K36" s="79"/>
      <c r="L36" s="79"/>
      <c r="M36" s="79"/>
    </row>
    <row r="37" ht="15">
      <c r="B37" s="78" t="s">
        <v>127</v>
      </c>
    </row>
    <row r="38" spans="2:5" ht="15">
      <c r="B38" s="78" t="s">
        <v>128</v>
      </c>
      <c r="C38" s="104"/>
      <c r="D38" s="104"/>
      <c r="E38" s="104"/>
    </row>
    <row r="39" ht="15">
      <c r="B39" s="104" t="s">
        <v>121</v>
      </c>
    </row>
    <row r="40" ht="15">
      <c r="B40" s="78" t="s">
        <v>131</v>
      </c>
    </row>
    <row r="42" spans="1:2" ht="15">
      <c r="A42" s="87" t="s">
        <v>13</v>
      </c>
      <c r="B42" s="104" t="s">
        <v>132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Ovum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Johnson</dc:creator>
  <cp:keywords/>
  <dc:description/>
  <cp:lastModifiedBy>Annelise</cp:lastModifiedBy>
  <cp:lastPrinted>2011-02-27T16:36:36Z</cp:lastPrinted>
  <dcterms:created xsi:type="dcterms:W3CDTF">2008-12-01T12:16:13Z</dcterms:created>
  <dcterms:modified xsi:type="dcterms:W3CDTF">2016-08-12T12:18:18Z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